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현재_통합_문서" defaultThemeVersion="124226"/>
  <bookViews>
    <workbookView xWindow="480" yWindow="90" windowWidth="20475" windowHeight="3945" activeTab="1"/>
  </bookViews>
  <sheets>
    <sheet name="수정정보" sheetId="12" r:id="rId1"/>
    <sheet name="작성용" sheetId="5" r:id="rId2"/>
    <sheet name="배포용" sheetId="11" r:id="rId3"/>
    <sheet name="명단" sheetId="1" r:id="rId4"/>
    <sheet name="정산" sheetId="10" r:id="rId5"/>
    <sheet name="특별건강검진비 신청서" sheetId="7" r:id="rId6"/>
    <sheet name="특별검진 병원 현황" sheetId="2" r:id="rId7"/>
    <sheet name="출산축하금 신청서" sheetId="6" r:id="rId8"/>
  </sheets>
  <definedNames>
    <definedName name="_xlnm._FilterDatabase" localSheetId="3" hidden="1">명단!$A$2:$AF$9</definedName>
    <definedName name="_xlnm.Print_Area" localSheetId="3">명단!$A$2:$X$9</definedName>
    <definedName name="_xlnm.Print_Area" localSheetId="2">배포용!$A$1:$F$30</definedName>
    <definedName name="_xlnm.Print_Area" localSheetId="1">작성용!$A$1:$F$30</definedName>
    <definedName name="_xlnm.Print_Area" localSheetId="4">정산!$A$1:$K$42</definedName>
  </definedNames>
  <calcPr calcId="145621"/>
</workbook>
</file>

<file path=xl/calcChain.xml><?xml version="1.0" encoding="utf-8"?>
<calcChain xmlns="http://schemas.openxmlformats.org/spreadsheetml/2006/main">
  <c r="F13" i="10" l="1"/>
  <c r="S4" i="1" l="1"/>
  <c r="S5" i="1"/>
  <c r="S6" i="1"/>
  <c r="S7" i="1"/>
  <c r="S3" i="1"/>
  <c r="R4" i="1"/>
  <c r="R5" i="1"/>
  <c r="R6" i="1"/>
  <c r="R7" i="1"/>
  <c r="R3" i="1"/>
  <c r="Q4" i="1"/>
  <c r="Q5" i="1"/>
  <c r="Q6" i="1"/>
  <c r="Q7" i="1"/>
  <c r="Q3" i="1"/>
  <c r="F36" i="10" l="1"/>
  <c r="E36" i="10"/>
  <c r="D36" i="10"/>
  <c r="D35" i="10"/>
  <c r="D38" i="10"/>
  <c r="F40" i="10"/>
  <c r="F39" i="10"/>
  <c r="F38" i="10"/>
  <c r="F37" i="10"/>
  <c r="F35" i="10"/>
  <c r="F34" i="10"/>
  <c r="I32" i="10"/>
  <c r="C4" i="6" l="1"/>
  <c r="D20" i="6" s="1"/>
  <c r="C4" i="7"/>
  <c r="D4" i="7"/>
  <c r="D15" i="7" s="1"/>
  <c r="E4" i="7"/>
  <c r="B2" i="7" l="1"/>
  <c r="B9" i="11" l="1"/>
  <c r="A11" i="10"/>
  <c r="U6" i="1" l="1"/>
  <c r="A29" i="10"/>
  <c r="U4" i="1" s="1"/>
  <c r="C4" i="5"/>
  <c r="B2" i="5"/>
  <c r="E11" i="5"/>
  <c r="E5" i="5"/>
  <c r="F4" i="1"/>
  <c r="P4" i="1" s="1"/>
  <c r="F5" i="1"/>
  <c r="P5" i="1" s="1"/>
  <c r="F6" i="1"/>
  <c r="P6" i="1" s="1"/>
  <c r="F7" i="1"/>
  <c r="P7" i="1" s="1"/>
  <c r="F3" i="1"/>
  <c r="P3" i="1" s="1"/>
  <c r="U5" i="1" l="1"/>
  <c r="U7" i="1"/>
  <c r="U3" i="1"/>
  <c r="V3" i="1" s="1"/>
  <c r="E3" i="5"/>
  <c r="E9" i="5"/>
  <c r="E4" i="5"/>
  <c r="I6" i="5"/>
  <c r="D6" i="5" s="1"/>
  <c r="J11" i="5"/>
  <c r="J10" i="5"/>
  <c r="I18" i="5" s="1"/>
  <c r="I17" i="5" l="1"/>
  <c r="I16" i="5"/>
  <c r="I10" i="5"/>
  <c r="L10" i="5"/>
  <c r="E40" i="10" l="1"/>
  <c r="D40" i="10"/>
  <c r="G13" i="10" l="1"/>
  <c r="G6" i="10"/>
  <c r="F6" i="10"/>
  <c r="K6" i="10" l="1"/>
  <c r="E38" i="10" l="1"/>
  <c r="E35" i="10" l="1"/>
  <c r="B24" i="10" l="1"/>
  <c r="C24" i="10"/>
  <c r="B13" i="10"/>
  <c r="C13" i="10"/>
  <c r="B6" i="10"/>
  <c r="C6" i="10"/>
  <c r="C29" i="10"/>
  <c r="B29" i="10"/>
  <c r="K20" i="10" l="1"/>
  <c r="J20" i="10"/>
  <c r="H22" i="10"/>
  <c r="K23" i="10"/>
  <c r="K22" i="10"/>
  <c r="J23" i="10"/>
  <c r="J22" i="10"/>
  <c r="J21" i="10"/>
  <c r="K21" i="10"/>
  <c r="I23" i="10"/>
  <c r="I22" i="10"/>
  <c r="I21" i="10"/>
  <c r="H23" i="10"/>
  <c r="H21" i="10"/>
  <c r="I35" i="10" l="1"/>
  <c r="I38" i="10"/>
  <c r="I40" i="10"/>
  <c r="I7" i="5"/>
  <c r="D7" i="5" s="1"/>
  <c r="K24" i="10"/>
  <c r="K29" i="10"/>
  <c r="J29" i="10"/>
  <c r="J24" i="10"/>
  <c r="I24" i="10"/>
  <c r="H29" i="10"/>
  <c r="H24" i="10"/>
  <c r="I29" i="10"/>
  <c r="D10" i="5"/>
  <c r="I36" i="10" l="1"/>
  <c r="C10" i="5"/>
  <c r="I10" i="7"/>
  <c r="J10" i="7" s="1"/>
  <c r="I7" i="7"/>
  <c r="J7" i="7" s="1"/>
  <c r="I7" i="6"/>
  <c r="J7" i="6" s="1"/>
  <c r="V4" i="1" l="1"/>
  <c r="V5" i="1"/>
  <c r="V6" i="1"/>
  <c r="V7" i="1"/>
  <c r="T5" i="1"/>
  <c r="I8" i="5"/>
  <c r="D8" i="5" s="1"/>
  <c r="W5" i="1" l="1"/>
  <c r="I9" i="5"/>
  <c r="J6" i="5"/>
  <c r="C6" i="5" s="1"/>
  <c r="T3" i="1"/>
  <c r="W3" i="1" s="1"/>
  <c r="T7" i="1"/>
  <c r="W7" i="1" s="1"/>
  <c r="T6" i="1"/>
  <c r="W6" i="1" s="1"/>
  <c r="T4" i="1"/>
  <c r="W4" i="1" s="1"/>
  <c r="L11" i="5"/>
  <c r="C11" i="5" s="1"/>
  <c r="I11" i="5"/>
  <c r="D11" i="5" l="1"/>
  <c r="J9" i="5"/>
  <c r="C9" i="5" s="1"/>
  <c r="D9" i="5"/>
  <c r="B9" i="5" s="1"/>
  <c r="X4" i="1"/>
  <c r="X6" i="1"/>
  <c r="Y6" i="1" s="1"/>
  <c r="X3" i="1"/>
  <c r="Y3" i="1" s="1"/>
  <c r="X7" i="1"/>
  <c r="Y7" i="1" s="1"/>
  <c r="X5" i="1"/>
  <c r="Y5" i="1" s="1"/>
  <c r="J7" i="5"/>
  <c r="C7" i="5" s="1"/>
  <c r="H12" i="5" l="1"/>
  <c r="D12" i="5" s="1"/>
  <c r="F33" i="10"/>
  <c r="Z7" i="1"/>
  <c r="AA7" i="1" s="1"/>
  <c r="AB7" i="1"/>
  <c r="AB6" i="1"/>
  <c r="Z6" i="1"/>
  <c r="AA6" i="1" s="1"/>
  <c r="Z4" i="1"/>
  <c r="AA4" i="1" s="1"/>
  <c r="AB4" i="1"/>
  <c r="Z5" i="1"/>
  <c r="AA5" i="1" s="1"/>
  <c r="AB5" i="1"/>
  <c r="Z3" i="1"/>
  <c r="AA3" i="1" s="1"/>
  <c r="AB3" i="1"/>
  <c r="Y8" i="1"/>
  <c r="J8" i="5"/>
  <c r="C8" i="5" s="1"/>
  <c r="X8" i="1"/>
  <c r="AC3" i="1" l="1"/>
  <c r="AB9" i="1"/>
  <c r="AC5" i="1"/>
  <c r="AC6" i="1"/>
  <c r="E37" i="10" s="1"/>
  <c r="G22" i="10" s="1"/>
  <c r="E39" i="10"/>
  <c r="G23" i="10" s="1"/>
  <c r="AC7" i="1"/>
  <c r="D39" i="10"/>
  <c r="F23" i="10" s="1"/>
  <c r="AC4" i="1"/>
  <c r="D37" i="10"/>
  <c r="F22" i="10" s="1"/>
  <c r="Z8" i="1"/>
  <c r="I13" i="5" l="1"/>
  <c r="D13" i="5" s="1"/>
  <c r="D34" i="10"/>
  <c r="F21" i="10" s="1"/>
  <c r="AA8" i="1"/>
  <c r="Z9" i="1" s="1"/>
  <c r="E33" i="10"/>
  <c r="E34" i="10"/>
  <c r="G21" i="10" s="1"/>
  <c r="E19" i="10" l="1"/>
  <c r="E24" i="10" s="1"/>
  <c r="I39" i="10"/>
  <c r="I34" i="10"/>
  <c r="I37" i="10"/>
  <c r="F29" i="10"/>
  <c r="F24" i="10"/>
  <c r="J13" i="5"/>
  <c r="G29" i="10"/>
  <c r="G24" i="10"/>
  <c r="D33" i="10"/>
  <c r="I33" i="10" s="1"/>
  <c r="E29" i="10" l="1"/>
  <c r="D19" i="10"/>
  <c r="D29" i="10" l="1"/>
  <c r="D24" i="10"/>
</calcChain>
</file>

<file path=xl/comments1.xml><?xml version="1.0" encoding="utf-8"?>
<comments xmlns="http://schemas.openxmlformats.org/spreadsheetml/2006/main">
  <authors>
    <author>MyPC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MyPC: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소요액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신청시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째자녀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수집</t>
        </r>
      </text>
    </comment>
  </commentList>
</comments>
</file>

<file path=xl/comments2.xml><?xml version="1.0" encoding="utf-8"?>
<comments xmlns="http://schemas.openxmlformats.org/spreadsheetml/2006/main">
  <authors>
    <author>한울</author>
  </authors>
  <commentList>
    <comment ref="P1" authorId="0">
      <text>
        <r>
          <rPr>
            <b/>
            <sz val="9"/>
            <color indexed="81"/>
            <rFont val="돋움"/>
            <family val="3"/>
            <charset val="129"/>
          </rPr>
          <t>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홀짝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확인
</t>
        </r>
      </text>
    </comment>
  </commentList>
</comments>
</file>

<file path=xl/comments3.xml><?xml version="1.0" encoding="utf-8"?>
<comments xmlns="http://schemas.openxmlformats.org/spreadsheetml/2006/main">
  <authors>
    <author>MyPC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MyPC:</t>
        </r>
        <r>
          <rPr>
            <sz val="9"/>
            <color indexed="81"/>
            <rFont val="Tahoma"/>
            <family val="2"/>
          </rPr>
          <t xml:space="preserve">
9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소요액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</t>
        </r>
        <r>
          <rPr>
            <sz val="9"/>
            <color indexed="81"/>
            <rFont val="Tahoma"/>
            <family val="2"/>
          </rPr>
          <t>, 1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보험료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납부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MyPC:</t>
        </r>
        <r>
          <rPr>
            <sz val="9"/>
            <color indexed="81"/>
            <rFont val="Tahoma"/>
            <family val="2"/>
          </rPr>
          <t xml:space="preserve">
5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소요액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예산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교부
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MyPC: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교육청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예산부족으로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교직원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돋움"/>
            <family val="3"/>
            <charset val="129"/>
          </rPr>
          <t>교원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</t>
        </r>
        <r>
          <rPr>
            <sz val="9"/>
            <color indexed="81"/>
            <rFont val="Tahoma"/>
            <family val="2"/>
          </rPr>
          <t xml:space="preserve"> 300</t>
        </r>
        <r>
          <rPr>
            <sz val="9"/>
            <color indexed="81"/>
            <rFont val="돋움"/>
            <family val="3"/>
            <charset val="129"/>
          </rPr>
          <t>만원</t>
        </r>
      </text>
    </comment>
  </commentList>
</comments>
</file>

<file path=xl/sharedStrings.xml><?xml version="1.0" encoding="utf-8"?>
<sst xmlns="http://schemas.openxmlformats.org/spreadsheetml/2006/main" count="319" uniqueCount="194">
  <si>
    <t>연번</t>
  </si>
  <si>
    <t>성명</t>
  </si>
  <si>
    <t>근무연수
(neis급여자료 1월)</t>
    <phoneticPr fontId="23" type="noConversion"/>
  </si>
  <si>
    <t>배우자</t>
    <phoneticPr fontId="23" type="noConversion"/>
  </si>
  <si>
    <t>자녀1</t>
    <phoneticPr fontId="23" type="noConversion"/>
  </si>
  <si>
    <t>자녀2</t>
    <phoneticPr fontId="23" type="noConversion"/>
  </si>
  <si>
    <t>자녀3</t>
    <phoneticPr fontId="23" type="noConversion"/>
  </si>
  <si>
    <t>부양가족</t>
    <phoneticPr fontId="23" type="noConversion"/>
  </si>
  <si>
    <t>출산축하</t>
    <phoneticPr fontId="23" type="noConversion"/>
  </si>
  <si>
    <t>기관(병원)명</t>
  </si>
  <si>
    <t>주소</t>
  </si>
  <si>
    <t>검진관련문의</t>
  </si>
  <si>
    <t>홈페이지주소</t>
  </si>
  <si>
    <t>홈페이지미사용</t>
  </si>
  <si>
    <t>생년월일</t>
    <phoneticPr fontId="23" type="noConversion"/>
  </si>
  <si>
    <t>출생년</t>
    <phoneticPr fontId="23" type="noConversion"/>
  </si>
  <si>
    <t>특별건강검진
대상</t>
    <phoneticPr fontId="23" type="noConversion"/>
  </si>
  <si>
    <t>근속점수</t>
    <phoneticPr fontId="23" type="noConversion"/>
  </si>
  <si>
    <t>가족점수</t>
    <phoneticPr fontId="23" type="noConversion"/>
  </si>
  <si>
    <t>보험료</t>
    <phoneticPr fontId="23" type="noConversion"/>
  </si>
  <si>
    <t>포인트</t>
    <phoneticPr fontId="23" type="noConversion"/>
  </si>
  <si>
    <t>자율항목</t>
    <phoneticPr fontId="23" type="noConversion"/>
  </si>
  <si>
    <t>10%</t>
    <phoneticPr fontId="23" type="noConversion"/>
  </si>
  <si>
    <t>온누리상품권
(5천원)</t>
    <phoneticPr fontId="23" type="noConversion"/>
  </si>
  <si>
    <t>사용가능
복지비</t>
    <phoneticPr fontId="23" type="noConversion"/>
  </si>
  <si>
    <t>소 속</t>
    <phoneticPr fontId="23" type="noConversion"/>
  </si>
  <si>
    <t>성 명</t>
    <phoneticPr fontId="23" type="noConversion"/>
  </si>
  <si>
    <t>생년 월일</t>
    <phoneticPr fontId="23" type="noConversion"/>
  </si>
  <si>
    <t>교 원</t>
  </si>
  <si>
    <t>기본점수</t>
    <phoneticPr fontId="23" type="noConversion"/>
  </si>
  <si>
    <t>근속점수</t>
    <phoneticPr fontId="23" type="noConversion"/>
  </si>
  <si>
    <t>가족점수</t>
    <phoneticPr fontId="23" type="noConversion"/>
  </si>
  <si>
    <t>특별건강검진비</t>
    <phoneticPr fontId="23" type="noConversion"/>
  </si>
  <si>
    <t>점수 (1점=1,000원)</t>
    <phoneticPr fontId="23" type="noConversion"/>
  </si>
  <si>
    <t>출산축하 복지점수</t>
    <phoneticPr fontId="23" type="noConversion"/>
  </si>
  <si>
    <t>1년당 10점, 최고 300점</t>
    <phoneticPr fontId="23" type="noConversion"/>
  </si>
  <si>
    <t>자율항목비의 10% 상당,
1만원, 5천원권으로 지급</t>
    <phoneticPr fontId="23" type="noConversion"/>
  </si>
  <si>
    <t xml:space="preserve">배우자 100점, 부양가족 1인당 50점,
둘째 자녀 100점, 셋째 이상 200점 </t>
    <phoneticPr fontId="23" type="noConversion"/>
  </si>
  <si>
    <t>셋째 이상 자녀 출산 일자</t>
    <phoneticPr fontId="23" type="noConversion"/>
  </si>
  <si>
    <t>은행명</t>
    <phoneticPr fontId="23" type="noConversion"/>
  </si>
  <si>
    <t>신청자 :</t>
    <phoneticPr fontId="23" type="noConversion"/>
  </si>
  <si>
    <t>대상자녀 성 명</t>
    <phoneticPr fontId="23" type="noConversion"/>
  </si>
  <si>
    <t>(서명)</t>
    <phoneticPr fontId="23" type="noConversion"/>
  </si>
  <si>
    <t>기관명</t>
    <phoneticPr fontId="23" type="noConversion"/>
  </si>
  <si>
    <t>출산축하금 신청서</t>
    <phoneticPr fontId="23" type="noConversion"/>
  </si>
  <si>
    <t>예산구분
(교원/사무직원)</t>
    <phoneticPr fontId="23" type="noConversion"/>
  </si>
  <si>
    <t>검진일자</t>
    <phoneticPr fontId="23" type="noConversion"/>
  </si>
  <si>
    <t>검진 기관</t>
    <phoneticPr fontId="23" type="noConversion"/>
  </si>
  <si>
    <t>☆ 첨부 서류
  영수증</t>
    <phoneticPr fontId="23" type="noConversion"/>
  </si>
  <si>
    <t>.        .</t>
    <phoneticPr fontId="23" type="noConversion"/>
  </si>
  <si>
    <t>특별건강검진 확인서</t>
    <phoneticPr fontId="23" type="noConversion"/>
  </si>
  <si>
    <t>(도장)</t>
    <phoneticPr fontId="23" type="noConversion"/>
  </si>
  <si>
    <t>총점수-단체보험료
-온누리 상품권</t>
    <phoneticPr fontId="23" type="noConversion"/>
  </si>
  <si>
    <t>자율항목 사용금액 (대상)</t>
    <phoneticPr fontId="23" type="noConversion"/>
  </si>
  <si>
    <t>구   분</t>
    <phoneticPr fontId="23" type="noConversion"/>
  </si>
  <si>
    <t>생년 월일</t>
  </si>
  <si>
    <t>구   분</t>
  </si>
  <si>
    <t>점수 (1점=1,000원)</t>
  </si>
  <si>
    <t>기본점수 (대상)</t>
  </si>
  <si>
    <t>+ 근속점수 (대상)</t>
  </si>
  <si>
    <t>1년당 10점, 최고 300점</t>
  </si>
  <si>
    <t xml:space="preserve">배우자 100점, 부양가족 1인당 50점,
둘째 자녀 100점, 셋째 이상 200점 </t>
  </si>
  <si>
    <t>▷ 출산축하 복지점수 (비대상)</t>
  </si>
  <si>
    <t/>
  </si>
  <si>
    <t>자율항목비의 10% 상당,
1만원, 5천원권으로 지급</t>
  </si>
  <si>
    <t>자율항목 사용금액 (대상)</t>
  </si>
  <si>
    <t>총점수-단체보험료
-온누리 상품권</t>
  </si>
  <si>
    <t>셋째자녀 이상 출산시 
1회에 한해서 1인당 300만</t>
    <phoneticPr fontId="23" type="noConversion"/>
  </si>
  <si>
    <t>상품권
(1만원)</t>
    <phoneticPr fontId="23" type="noConversion"/>
  </si>
  <si>
    <t>기본</t>
    <phoneticPr fontId="23" type="noConversion"/>
  </si>
  <si>
    <t>배정점수</t>
    <phoneticPr fontId="23" type="noConversion"/>
  </si>
  <si>
    <t>셋째자녀 이상 출산시 
1회에 한해서 1인당 300만</t>
  </si>
  <si>
    <t>대상자수</t>
    <phoneticPr fontId="23" type="noConversion"/>
  </si>
  <si>
    <t>단체보험료</t>
    <phoneticPr fontId="23" type="noConversion"/>
  </si>
  <si>
    <t>온누리상품권</t>
    <phoneticPr fontId="23" type="noConversion"/>
  </si>
  <si>
    <t>자율항목</t>
    <phoneticPr fontId="23" type="noConversion"/>
  </si>
  <si>
    <t>특별검진</t>
    <phoneticPr fontId="23" type="noConversion"/>
  </si>
  <si>
    <t>이월+보험료정산</t>
    <phoneticPr fontId="23" type="noConversion"/>
  </si>
  <si>
    <t>1차</t>
    <phoneticPr fontId="23" type="noConversion"/>
  </si>
  <si>
    <t>3차</t>
    <phoneticPr fontId="23" type="noConversion"/>
  </si>
  <si>
    <t>2015 교부예산</t>
    <phoneticPr fontId="23" type="noConversion"/>
  </si>
  <si>
    <t>합 계</t>
    <phoneticPr fontId="23" type="noConversion"/>
  </si>
  <si>
    <t>5% 할인구매</t>
    <phoneticPr fontId="23" type="noConversion"/>
  </si>
  <si>
    <t>보험료</t>
    <phoneticPr fontId="23" type="noConversion"/>
  </si>
  <si>
    <t>온누리 상품권</t>
    <phoneticPr fontId="23" type="noConversion"/>
  </si>
  <si>
    <t>2차</t>
    <phoneticPr fontId="23" type="noConversion"/>
  </si>
  <si>
    <t>자율항목-1차</t>
    <phoneticPr fontId="23" type="noConversion"/>
  </si>
  <si>
    <t>잔  액</t>
    <phoneticPr fontId="23" type="noConversion"/>
  </si>
  <si>
    <t>집행 내역 (예정)</t>
    <phoneticPr fontId="23" type="noConversion"/>
  </si>
  <si>
    <t>집  행</t>
    <phoneticPr fontId="23" type="noConversion"/>
  </si>
  <si>
    <t>온누리 상품권 단체구입</t>
    <phoneticPr fontId="23" type="noConversion"/>
  </si>
  <si>
    <t>단체 보험료 납부</t>
    <phoneticPr fontId="23" type="noConversion"/>
  </si>
  <si>
    <t>집행</t>
    <phoneticPr fontId="23" type="noConversion"/>
  </si>
  <si>
    <t>집행률</t>
    <phoneticPr fontId="23" type="noConversion"/>
  </si>
  <si>
    <t>특별검진-1차</t>
    <phoneticPr fontId="23" type="noConversion"/>
  </si>
  <si>
    <t>특별검진</t>
    <phoneticPr fontId="23" type="noConversion"/>
  </si>
  <si>
    <t>자율항목-2차</t>
    <phoneticPr fontId="23" type="noConversion"/>
  </si>
  <si>
    <t>자율항목-3차</t>
    <phoneticPr fontId="23" type="noConversion"/>
  </si>
  <si>
    <t>예정</t>
    <phoneticPr fontId="23" type="noConversion"/>
  </si>
  <si>
    <t>특별검진-2차</t>
    <phoneticPr fontId="23" type="noConversion"/>
  </si>
  <si>
    <t>출산축하금</t>
    <phoneticPr fontId="23" type="noConversion"/>
  </si>
  <si>
    <t>출산축하금</t>
    <phoneticPr fontId="23" type="noConversion"/>
  </si>
  <si>
    <t>출산축하</t>
    <phoneticPr fontId="23" type="noConversion"/>
  </si>
  <si>
    <t>특별검진-3차</t>
    <phoneticPr fontId="23" type="noConversion"/>
  </si>
  <si>
    <t>적용 기간: 2016.01.01~2016.12.31</t>
    <phoneticPr fontId="23" type="noConversion"/>
  </si>
  <si>
    <t>2016 맞춤형 복지비 소요액</t>
    <phoneticPr fontId="23" type="noConversion"/>
  </si>
  <si>
    <t>실비보험</t>
    <phoneticPr fontId="23" type="noConversion"/>
  </si>
  <si>
    <t>성별</t>
    <phoneticPr fontId="23" type="noConversion"/>
  </si>
  <si>
    <t>1억/2억안</t>
    <phoneticPr fontId="23" type="noConversion"/>
  </si>
  <si>
    <t>남</t>
  </si>
  <si>
    <t>여</t>
  </si>
  <si>
    <t>남</t>
    <phoneticPr fontId="23" type="noConversion"/>
  </si>
  <si>
    <t>남</t>
    <phoneticPr fontId="23" type="noConversion"/>
  </si>
  <si>
    <t>1억</t>
  </si>
  <si>
    <t>1억</t>
    <phoneticPr fontId="23" type="noConversion"/>
  </si>
  <si>
    <t>2억</t>
  </si>
  <si>
    <t>상품권 계산</t>
    <phoneticPr fontId="23" type="noConversion"/>
  </si>
  <si>
    <t>적용 기준
(기준일자: 2016. 1. 1)</t>
  </si>
  <si>
    <t>적용 기준
(기준일자: 2016. 1. 1)</t>
    <phoneticPr fontId="23" type="noConversion"/>
  </si>
  <si>
    <t>1976년 12월 31일 이전 출생자 
중 짝수연도 출생자</t>
  </si>
  <si>
    <t>1976년 12월 31일 이전 출생자 
중 짝수연도 출생자</t>
    <phoneticPr fontId="23" type="noConversion"/>
  </si>
  <si>
    <t>배정
점수</t>
    <phoneticPr fontId="23" type="noConversion"/>
  </si>
  <si>
    <t>사용가능
복지비</t>
    <phoneticPr fontId="23" type="noConversion"/>
  </si>
  <si>
    <t>2016년 교육청 일괄 납부</t>
    <phoneticPr fontId="23" type="noConversion"/>
  </si>
  <si>
    <t>2016년 교육청 일괄 납부</t>
    <phoneticPr fontId="23" type="noConversion"/>
  </si>
  <si>
    <t>실손보험 면제</t>
  </si>
  <si>
    <t>단체보험 가입</t>
    <phoneticPr fontId="23" type="noConversion"/>
  </si>
  <si>
    <t>온누리 상품권-5% 할인 (대상)</t>
  </si>
  <si>
    <t>온누리 상품권-5% 할인 (대상)</t>
    <phoneticPr fontId="23" type="noConversion"/>
  </si>
  <si>
    <t>내용 수정</t>
    <phoneticPr fontId="23" type="noConversion"/>
  </si>
  <si>
    <t>2016년도 맞춤형 복지비 사용 안내</t>
  </si>
  <si>
    <t>- 단체보험료 (대상)</t>
  </si>
  <si>
    <t>대상자
(별도)</t>
    <phoneticPr fontId="23" type="noConversion"/>
  </si>
  <si>
    <t>생년월일</t>
    <phoneticPr fontId="23" type="noConversion"/>
  </si>
  <si>
    <t xml:space="preserve">       년        월        일</t>
    <phoneticPr fontId="23" type="noConversion"/>
  </si>
  <si>
    <t xml:space="preserve">       년       월       일</t>
    <phoneticPr fontId="23" type="noConversion"/>
  </si>
  <si>
    <t>출력시트</t>
    <phoneticPr fontId="23" type="noConversion"/>
  </si>
  <si>
    <t>사무직원</t>
  </si>
  <si>
    <r>
      <t xml:space="preserve">검진 항목
(암, 뇌심혈관 질환 및 희망 항목)
</t>
    </r>
    <r>
      <rPr>
        <b/>
        <sz val="11"/>
        <color rgb="FFFF0000"/>
        <rFont val="맑은 고딕"/>
        <family val="3"/>
        <charset val="129"/>
        <scheme val="minor"/>
      </rPr>
      <t>입원비, 치료비로 사용 불가</t>
    </r>
    <phoneticPr fontId="23" type="noConversion"/>
  </si>
  <si>
    <t>※ 건강검진 이외에 다른 진료 및 치료 목적으로 사용 불가(입원비, 치료비 등)</t>
    <phoneticPr fontId="23" type="noConversion"/>
  </si>
  <si>
    <t>16.03.12</t>
    <phoneticPr fontId="23" type="noConversion"/>
  </si>
  <si>
    <t>자동으로 PDF 생성되도록 개선</t>
    <phoneticPr fontId="23" type="noConversion"/>
  </si>
  <si>
    <t>시트추가시 PDF출력에 문제가 있으니 생성/삭제 금지</t>
    <phoneticPr fontId="23" type="noConversion"/>
  </si>
  <si>
    <t>병원장 :</t>
    <phoneticPr fontId="23" type="noConversion"/>
  </si>
  <si>
    <t>구 분</t>
  </si>
  <si>
    <t>구 분</t>
    <phoneticPr fontId="23" type="noConversion"/>
  </si>
  <si>
    <t>구분</t>
    <phoneticPr fontId="23" type="noConversion"/>
  </si>
  <si>
    <t>비 고</t>
    <phoneticPr fontId="23" type="noConversion"/>
  </si>
  <si>
    <t>← 기입</t>
    <phoneticPr fontId="23" type="noConversion"/>
  </si>
  <si>
    <t>← 확인</t>
    <phoneticPr fontId="23" type="noConversion"/>
  </si>
  <si>
    <t>2016.01.01</t>
    <phoneticPr fontId="23" type="noConversion"/>
  </si>
  <si>
    <t>2016.05 예정</t>
    <phoneticPr fontId="23" type="noConversion"/>
  </si>
  <si>
    <t>2016.08 예정</t>
    <phoneticPr fontId="23" type="noConversion"/>
  </si>
  <si>
    <t>2016.11 예정</t>
    <phoneticPr fontId="23" type="noConversion"/>
  </si>
  <si>
    <t>2016.11 예정</t>
    <phoneticPr fontId="23" type="noConversion"/>
  </si>
  <si>
    <t>특별검진비 지급 계좌 번호
(급여계좌로 신청시 생략)</t>
    <phoneticPr fontId="23" type="noConversion"/>
  </si>
  <si>
    <t>출산축하금 지급 계좌 번호
(급여계좌로 신청시 생략)</t>
    <phoneticPr fontId="23" type="noConversion"/>
  </si>
  <si>
    <t>☆ 첨부 서류
출산자녀가 등재된 가족관계증명서, 본인 통장사본 각 1부.</t>
    <phoneticPr fontId="23" type="noConversion"/>
  </si>
  <si>
    <r>
      <t xml:space="preserve">신청 금액
</t>
    </r>
    <r>
      <rPr>
        <b/>
        <sz val="11"/>
        <color rgb="FFFF0000"/>
        <rFont val="맑은 고딕"/>
        <family val="3"/>
        <charset val="129"/>
        <scheme val="minor"/>
      </rPr>
      <t>(추가비용 개인 부담)</t>
    </r>
    <phoneticPr fontId="23" type="noConversion"/>
  </si>
  <si>
    <t>위 교직원이 특별건강검진을 수검하였음을 확인합니다.</t>
    <phoneticPr fontId="23" type="noConversion"/>
  </si>
  <si>
    <r>
      <t xml:space="preserve">☆ 안내 사항 
</t>
    </r>
    <r>
      <rPr>
        <b/>
        <sz val="10.5"/>
        <color theme="1"/>
        <rFont val="맑은 고딕"/>
        <family val="3"/>
        <charset val="129"/>
        <scheme val="minor"/>
      </rPr>
      <t>- 제출일자 -</t>
    </r>
    <r>
      <rPr>
        <sz val="10.5"/>
        <color theme="1"/>
        <rFont val="맑은 고딕"/>
        <family val="3"/>
        <charset val="129"/>
        <scheme val="minor"/>
      </rPr>
      <t xml:space="preserve">
 1차 맞춤형 복지비 영수증 &amp; 특별건강검진비 청구서 제출일자: </t>
    </r>
    <r>
      <rPr>
        <b/>
        <sz val="10.5"/>
        <color rgb="FFFF0000"/>
        <rFont val="맑은 고딕"/>
        <family val="3"/>
        <charset val="129"/>
        <scheme val="minor"/>
      </rPr>
      <t>2015. 5. 17 ~ 20</t>
    </r>
    <r>
      <rPr>
        <sz val="10.5"/>
        <color theme="1"/>
        <rFont val="맑은 고딕"/>
        <family val="3"/>
        <charset val="129"/>
        <scheme val="minor"/>
      </rPr>
      <t xml:space="preserve">
 2차 서류 제출일자:</t>
    </r>
    <r>
      <rPr>
        <b/>
        <sz val="10.5"/>
        <color rgb="FFFF0000"/>
        <rFont val="맑은 고딕"/>
        <family val="3"/>
        <charset val="129"/>
        <scheme val="minor"/>
      </rPr>
      <t xml:space="preserve"> 2015. 8. 1 ~ 26
 </t>
    </r>
    <r>
      <rPr>
        <sz val="10.5"/>
        <rFont val="맑은 고딕"/>
        <family val="3"/>
        <charset val="129"/>
        <scheme val="minor"/>
      </rPr>
      <t>3차(최종) 서류 제출일자:</t>
    </r>
    <r>
      <rPr>
        <b/>
        <sz val="10.5"/>
        <color rgb="FFFF0000"/>
        <rFont val="맑은 고딕"/>
        <family val="3"/>
        <charset val="129"/>
        <scheme val="minor"/>
      </rPr>
      <t xml:space="preserve"> 2015. 11. 1 ~ 26</t>
    </r>
    <r>
      <rPr>
        <sz val="10.5"/>
        <color theme="1"/>
        <rFont val="맑은 고딕"/>
        <family val="3"/>
        <charset val="129"/>
        <scheme val="minor"/>
      </rPr>
      <t xml:space="preserve">
======================== 기한내 제출해주시기 바랍니다.
</t>
    </r>
    <r>
      <rPr>
        <b/>
        <sz val="10.5"/>
        <color theme="1"/>
        <rFont val="맑은 고딕"/>
        <family val="3"/>
        <charset val="129"/>
        <scheme val="minor"/>
      </rPr>
      <t xml:space="preserve">
- 제출서류 -</t>
    </r>
    <r>
      <rPr>
        <sz val="10.5"/>
        <color theme="1"/>
        <rFont val="맑은 고딕"/>
        <family val="3"/>
        <charset val="129"/>
        <scheme val="minor"/>
      </rPr>
      <t xml:space="preserve">
1. 출산축하금: 셋째자녀 출산시 첨부된 신청서를 행정실로 제출, 신청 계좌로 송금.
                   가족관계증명서, 통장사본
2. 특별건강검진비: 첨부된 신청서(확인서), 병원에서 자체 확인서 양식 발급시 별도 첨부가능, 영수증 전표
3. 자율항목 사용금액: 맞춤형 복지포탈 (http://www.gwp.or.kr) 에서 청구</t>
    </r>
    <r>
      <rPr>
        <b/>
        <sz val="10.5"/>
        <color theme="1"/>
        <rFont val="맑은 고딕"/>
        <family val="3"/>
        <charset val="129"/>
        <scheme val="minor"/>
      </rPr>
      <t>(2016년도 사용분)</t>
    </r>
    <r>
      <rPr>
        <sz val="10.5"/>
        <color theme="1"/>
        <rFont val="맑은 고딕"/>
        <family val="3"/>
        <charset val="129"/>
        <scheme val="minor"/>
      </rPr>
      <t xml:space="preserve">,
                            카드매출 전표 또는 이용대금 명세서(내역서), 현금영수증 등
                            (간이영수증 사용 불가)                             
</t>
    </r>
    <r>
      <rPr>
        <b/>
        <sz val="10.5"/>
        <color theme="1"/>
        <rFont val="맑은 고딕"/>
        <family val="3"/>
        <charset val="129"/>
        <scheme val="minor"/>
      </rPr>
      <t>- 특별검진 병원 현황 -</t>
    </r>
    <r>
      <rPr>
        <sz val="10.5"/>
        <color theme="1"/>
        <rFont val="맑은 고딕"/>
        <family val="3"/>
        <charset val="129"/>
        <scheme val="minor"/>
      </rPr>
      <t xml:space="preserve">
특별검진 병원 현황 시트 참조
(경북교육청 부서별 홈페이지 → 행정지원과 → 맞춤형복지제도 안내 → 공지사항 참고)
                                                                 (        )</t>
    </r>
    <phoneticPr fontId="23" type="noConversion"/>
  </si>
  <si>
    <t>단체보험 가입</t>
  </si>
  <si>
    <t>보험료 단가</t>
    <phoneticPr fontId="23" type="noConversion"/>
  </si>
  <si>
    <t>가길동</t>
  </si>
  <si>
    <t>가길동</t>
    <phoneticPr fontId="23" type="noConversion"/>
  </si>
  <si>
    <t>나길동</t>
    <phoneticPr fontId="23" type="noConversion"/>
  </si>
  <si>
    <t>다길동</t>
    <phoneticPr fontId="23" type="noConversion"/>
  </si>
  <si>
    <t>라길동</t>
    <phoneticPr fontId="23" type="noConversion"/>
  </si>
  <si>
    <t>마길동</t>
    <phoneticPr fontId="23" type="noConversion"/>
  </si>
  <si>
    <t>사무직원</t>
    <phoneticPr fontId="23" type="noConversion"/>
  </si>
  <si>
    <t>실손보험 면제</t>
    <phoneticPr fontId="23" type="noConversion"/>
  </si>
  <si>
    <t>1차</t>
    <phoneticPr fontId="23" type="noConversion"/>
  </si>
  <si>
    <t>2차</t>
    <phoneticPr fontId="23" type="noConversion"/>
  </si>
  <si>
    <t>3차</t>
    <phoneticPr fontId="23" type="noConversion"/>
  </si>
  <si>
    <t>30명</t>
    <phoneticPr fontId="23" type="noConversion"/>
  </si>
  <si>
    <t>개인구매</t>
  </si>
  <si>
    <t>나길동 개인구매</t>
    <phoneticPr fontId="23" type="noConversion"/>
  </si>
  <si>
    <t>※ 안내: 2016.1.18~2.5 개인에 한해 10% 할인판매 안내하기 (명절, K-Sale Day 적용)</t>
    <phoneticPr fontId="23" type="noConversion"/>
  </si>
  <si>
    <t>OO중학교</t>
  </si>
  <si>
    <t>OO중학교</t>
    <phoneticPr fontId="23" type="noConversion"/>
  </si>
  <si>
    <t>가길동</t>
    <phoneticPr fontId="23" type="noConversion"/>
  </si>
  <si>
    <r>
      <t xml:space="preserve">☆ 안내 사항 
</t>
    </r>
    <r>
      <rPr>
        <b/>
        <sz val="10.5"/>
        <color theme="1"/>
        <rFont val="맑은 고딕"/>
        <family val="3"/>
        <charset val="129"/>
        <scheme val="minor"/>
      </rPr>
      <t>- 제출일자 -</t>
    </r>
    <r>
      <rPr>
        <sz val="10.5"/>
        <color theme="1"/>
        <rFont val="맑은 고딕"/>
        <family val="3"/>
        <charset val="129"/>
        <scheme val="minor"/>
      </rPr>
      <t xml:space="preserve">
 1차 맞춤형 복지비 영수증 &amp; 특별건강검진비 청구서 제출일자: </t>
    </r>
    <r>
      <rPr>
        <b/>
        <sz val="10.5"/>
        <color rgb="FFFF0000"/>
        <rFont val="맑은 고딕"/>
        <family val="3"/>
        <charset val="129"/>
        <scheme val="minor"/>
      </rPr>
      <t>2016. 5. 17 ~ 20</t>
    </r>
    <r>
      <rPr>
        <sz val="10.5"/>
        <color theme="1"/>
        <rFont val="맑은 고딕"/>
        <family val="3"/>
        <charset val="129"/>
        <scheme val="minor"/>
      </rPr>
      <t xml:space="preserve">
 2차 서류 제출일자:</t>
    </r>
    <r>
      <rPr>
        <b/>
        <sz val="10.5"/>
        <color rgb="FFFF0000"/>
        <rFont val="맑은 고딕"/>
        <family val="3"/>
        <charset val="129"/>
        <scheme val="minor"/>
      </rPr>
      <t xml:space="preserve"> 2016. 8. 1 ~ 26
 </t>
    </r>
    <r>
      <rPr>
        <sz val="10.5"/>
        <rFont val="맑은 고딕"/>
        <family val="3"/>
        <charset val="129"/>
        <scheme val="minor"/>
      </rPr>
      <t>3차(최종) 서류 제출일자:</t>
    </r>
    <r>
      <rPr>
        <b/>
        <sz val="10.5"/>
        <color rgb="FFFF0000"/>
        <rFont val="맑은 고딕"/>
        <family val="3"/>
        <charset val="129"/>
        <scheme val="minor"/>
      </rPr>
      <t xml:space="preserve"> 2016. 11. 1 ~ 26</t>
    </r>
    <r>
      <rPr>
        <sz val="10.5"/>
        <color theme="1"/>
        <rFont val="맑은 고딕"/>
        <family val="3"/>
        <charset val="129"/>
        <scheme val="minor"/>
      </rPr>
      <t xml:space="preserve">
======================== 기한내 제출해주시기 바랍니다.
</t>
    </r>
    <r>
      <rPr>
        <b/>
        <sz val="10.5"/>
        <color theme="1"/>
        <rFont val="맑은 고딕"/>
        <family val="3"/>
        <charset val="129"/>
        <scheme val="minor"/>
      </rPr>
      <t xml:space="preserve">
- 제출서류 -</t>
    </r>
    <r>
      <rPr>
        <sz val="10.5"/>
        <color theme="1"/>
        <rFont val="맑은 고딕"/>
        <family val="3"/>
        <charset val="129"/>
        <scheme val="minor"/>
      </rPr>
      <t xml:space="preserve">
1. 출산축하금: 셋째자녀 출산시 첨부된 신청서를 행정실로 제출, 신청 계좌로 송금.
                   가족관계증명서, 통장사본
2. 특별건강검진비: 첨부된 신청서(확인서), 병원에서 자체 확인서 양식 발급시 별도 첨부가능, 영수증 전표
3. 자율항목 사용금액: 맞춤형 복지포탈 (http://www.gwp.or.kr) 에서 청구</t>
    </r>
    <r>
      <rPr>
        <b/>
        <sz val="10.5"/>
        <color theme="1"/>
        <rFont val="맑은 고딕"/>
        <family val="3"/>
        <charset val="129"/>
        <scheme val="minor"/>
      </rPr>
      <t>(2016년도 사용분)</t>
    </r>
    <r>
      <rPr>
        <sz val="10.5"/>
        <color theme="1"/>
        <rFont val="맑은 고딕"/>
        <family val="3"/>
        <charset val="129"/>
        <scheme val="minor"/>
      </rPr>
      <t xml:space="preserve">,
                            카드매출 전표 또는 이용대금 명세서(내역서), 현금영수증 등
                            (간이영수증 사용 불가)                             
</t>
    </r>
    <r>
      <rPr>
        <b/>
        <sz val="10.5"/>
        <color theme="1"/>
        <rFont val="맑은 고딕"/>
        <family val="3"/>
        <charset val="129"/>
        <scheme val="minor"/>
      </rPr>
      <t>- 특별검진 병원 현황 -</t>
    </r>
    <r>
      <rPr>
        <sz val="10.5"/>
        <color theme="1"/>
        <rFont val="맑은 고딕"/>
        <family val="3"/>
        <charset val="129"/>
        <scheme val="minor"/>
      </rPr>
      <t xml:space="preserve">
특별검진 병원 현황 시트 참조
(교육청 부서별 홈페이지 → 행정지원과 → 맞춤형복지제도 안내 → 공지사항 참고)
                                                                 (        )</t>
    </r>
    <phoneticPr fontId="23" type="noConversion"/>
  </si>
  <si>
    <t>+ 가족점수 (대상)</t>
  </si>
  <si>
    <t>1억, 실손보험 면제</t>
  </si>
  <si>
    <t>▷ 특별건강검진비 (대상)</t>
  </si>
  <si>
    <t>200,000원</t>
  </si>
  <si>
    <t>교육청 부서별 홈페이지 → 행정지원과 → 맞춤형복지제도 안내 → 공지사항 참고
 ※ 기관(병원)별, 검진항목별 구체적인 검진비용은 제안서를 확인한 후, 검진하기기 바랍니다.</t>
    <phoneticPr fontId="23" type="noConversion"/>
  </si>
  <si>
    <t>2016년 교육청 소속 교직원 특별건강검진 협력검진기관 지정 현황</t>
    <phoneticPr fontId="23" type="noConversion"/>
  </si>
  <si>
    <t>OO병원</t>
    <phoneticPr fontId="23" type="noConversion"/>
  </si>
  <si>
    <t>OO병원</t>
    <phoneticPr fontId="23" type="noConversion"/>
  </si>
  <si>
    <t>대구광역시 중구 1-1</t>
    <phoneticPr fontId="23" type="noConversion"/>
  </si>
  <si>
    <t>경주시 1-1</t>
    <phoneticPr fontId="23" type="noConversion"/>
  </si>
  <si>
    <t>053-123-1234</t>
    <phoneticPr fontId="23" type="noConversion"/>
  </si>
  <si>
    <t>054-123-1234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</si>
</sst>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yyyy&quot;/&quot;m&quot;/&quot;d"/>
    <numFmt numFmtId="179" formatCode="_(&quot;$&quot;* #,##0.00_);_(&quot;$&quot;* \(#,##0.00\);_(&quot;$&quot;* &quot;-&quot;??_);_(@_)"/>
    <numFmt numFmtId="180" formatCode="&quot;RM&quot;#,##0_);\(&quot;RM&quot;#,##0\)"/>
    <numFmt numFmtId="181" formatCode="#,##0;[Red]&quot;-&quot;#,##0"/>
    <numFmt numFmtId="182" formatCode="#,##0_ ;[Red]\-#,##0\ "/>
    <numFmt numFmtId="183" formatCode="\(0.0\);[Red]&quot;(△0.0)&quot;"/>
    <numFmt numFmtId="184" formatCode="_ &quot;₩&quot;* #,##0_ ;_ &quot;₩&quot;* \-#,##0_ ;_ &quot;₩&quot;* &quot;-&quot;_ ;_ @_ "/>
    <numFmt numFmtId="185" formatCode="_ &quot;₩&quot;* #,##0.00_ ;_ &quot;₩&quot;* \-#,##0.00_ ;_ &quot;₩&quot;* &quot;-&quot;??_ ;_ @_ "/>
    <numFmt numFmtId="186" formatCode="\(#,##0\)"/>
    <numFmt numFmtId="187" formatCode="\(0.00\)"/>
    <numFmt numFmtId="188" formatCode="#,##0_ "/>
    <numFmt numFmtId="189" formatCode="0.0000000000000"/>
    <numFmt numFmtId="190" formatCode="0.000_);[Red]\(0.000\)"/>
    <numFmt numFmtId="191" formatCode="#,##0.00_);[Red]\(#,##0.00\)"/>
    <numFmt numFmtId="192" formatCode="#,##0_);[Red]\(#,##0\)"/>
    <numFmt numFmtId="193" formatCode="yyyy&quot;년&quot;\ m&quot;월&quot;\ d&quot;일&quot;;@"/>
    <numFmt numFmtId="194" formatCode="#,##0_ &quot;원&quot;"/>
    <numFmt numFmtId="195" formatCode="#,##0&quot;원&quot;"/>
    <numFmt numFmtId="196" formatCode="#,##0.000_);[Red]\(#,##0.000\)"/>
  </numFmts>
  <fonts count="7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8"/>
      <name val="Arial"/>
      <family val="2"/>
    </font>
    <font>
      <sz val="10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8"/>
      <name val="맑은 고딕"/>
      <family val="3"/>
      <charset val="129"/>
    </font>
    <font>
      <sz val="10"/>
      <color indexed="8"/>
      <name val="Arial"/>
      <family val="2"/>
    </font>
    <font>
      <sz val="12"/>
      <name val="???"/>
      <family val="1"/>
    </font>
    <font>
      <sz val="12"/>
      <name val="¹ÙÅÁÃ¼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1"/>
      <name val="뼻뮝"/>
      <family val="3"/>
      <charset val="129"/>
    </font>
    <font>
      <sz val="17"/>
      <name val="바탕체"/>
      <family val="1"/>
      <charset val="129"/>
    </font>
    <font>
      <sz val="12"/>
      <name val="±¼¸²Ã¼"/>
      <family val="3"/>
      <charset val="129"/>
    </font>
    <font>
      <sz val="10"/>
      <color indexed="8"/>
      <name val="Impact"/>
      <family val="2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2"/>
      <name val="돋움"/>
      <family val="3"/>
      <charset val="129"/>
    </font>
    <font>
      <sz val="11"/>
      <name val="돋움"/>
      <family val="3"/>
    </font>
    <font>
      <u/>
      <sz val="11"/>
      <color indexed="12"/>
      <name val="돋움"/>
      <family val="3"/>
      <charset val="129"/>
    </font>
    <font>
      <sz val="12"/>
      <name val="굴림체"/>
      <family val="3"/>
      <charset val="129"/>
    </font>
    <font>
      <sz val="12"/>
      <color indexed="8"/>
      <name val="굴림체"/>
      <family val="3"/>
      <charset val="129"/>
    </font>
    <font>
      <b/>
      <sz val="16"/>
      <name val="굴림체"/>
      <family val="3"/>
      <charset val="129"/>
    </font>
    <font>
      <b/>
      <sz val="12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2"/>
      <color indexed="8"/>
      <name val="돋움"/>
      <family val="3"/>
      <charset val="129"/>
    </font>
    <font>
      <u/>
      <sz val="12"/>
      <color indexed="12"/>
      <name val="돋움"/>
      <family val="3"/>
      <charset val="129"/>
    </font>
    <font>
      <sz val="12"/>
      <color rgb="FF000000"/>
      <name val="굴림체"/>
      <family val="3"/>
      <charset val="129"/>
    </font>
    <font>
      <b/>
      <sz val="16"/>
      <color rgb="FF0000FF"/>
      <name val="굴림체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1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b/>
      <sz val="10.5"/>
      <color rgb="FFFF0000"/>
      <name val="맑은 고딕"/>
      <family val="3"/>
      <charset val="129"/>
      <scheme val="minor"/>
    </font>
    <font>
      <sz val="10.5"/>
      <name val="맑은 고딕"/>
      <family val="3"/>
      <charset val="129"/>
      <scheme val="minor"/>
    </font>
    <font>
      <b/>
      <sz val="10.5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</fonts>
  <fills count="4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68">
    <xf numFmtId="0" fontId="0" fillId="0" borderId="0">
      <alignment vertical="center"/>
    </xf>
    <xf numFmtId="0" fontId="1" fillId="0" borderId="0"/>
    <xf numFmtId="0" fontId="11" fillId="0" borderId="0" applyNumberFormat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9" fillId="0" borderId="0"/>
    <xf numFmtId="178" fontId="1" fillId="0" borderId="0" applyFill="0" applyBorder="0" applyAlignment="0"/>
    <xf numFmtId="178" fontId="1" fillId="0" borderId="0" applyFill="0" applyBorder="0" applyAlignment="0"/>
    <xf numFmtId="186" fontId="1" fillId="0" borderId="0" applyFill="0" applyBorder="0" applyAlignment="0"/>
    <xf numFmtId="0" fontId="20" fillId="2" borderId="1">
      <alignment horizontal="center" wrapText="1"/>
    </xf>
    <xf numFmtId="0" fontId="4" fillId="0" borderId="0" applyFont="0" applyFill="0" applyBorder="0" applyAlignment="0" applyProtection="0"/>
    <xf numFmtId="182" fontId="1" fillId="0" borderId="0"/>
    <xf numFmtId="0" fontId="4" fillId="0" borderId="0" applyFont="0" applyFill="0" applyBorder="0" applyAlignment="0" applyProtection="0"/>
    <xf numFmtId="0" fontId="5" fillId="0" borderId="0" applyNumberFormat="0" applyAlignment="0">
      <alignment horizontal="left"/>
    </xf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15" fontId="4" fillId="0" borderId="0"/>
    <xf numFmtId="187" fontId="1" fillId="0" borderId="0"/>
    <xf numFmtId="0" fontId="6" fillId="0" borderId="0" applyNumberFormat="0" applyAlignment="0">
      <alignment horizontal="left"/>
    </xf>
    <xf numFmtId="38" fontId="3" fillId="3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10" fontId="3" fillId="2" borderId="4" applyNumberFormat="0" applyBorder="0" applyAlignment="0" applyProtection="0"/>
    <xf numFmtId="10" fontId="3" fillId="2" borderId="4" applyNumberFormat="0" applyBorder="0" applyAlignment="0" applyProtection="0"/>
    <xf numFmtId="10" fontId="3" fillId="2" borderId="4" applyNumberFormat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1" fontId="1" fillId="0" borderId="0"/>
    <xf numFmtId="181" fontId="1" fillId="0" borderId="0"/>
    <xf numFmtId="183" fontId="2" fillId="0" borderId="0"/>
    <xf numFmtId="0" fontId="4" fillId="0" borderId="0"/>
    <xf numFmtId="10" fontId="4" fillId="0" borderId="0" applyFont="0" applyFill="0" applyBorder="0" applyAlignment="0" applyProtection="0"/>
    <xf numFmtId="30" fontId="8" fillId="0" borderId="0" applyNumberFormat="0" applyFill="0" applyBorder="0" applyAlignment="0" applyProtection="0">
      <alignment horizontal="left"/>
    </xf>
    <xf numFmtId="40" fontId="9" fillId="0" borderId="0" applyBorder="0">
      <alignment horizontal="right"/>
    </xf>
    <xf numFmtId="0" fontId="1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" fontId="15" fillId="0" borderId="0">
      <protection locked="0"/>
    </xf>
    <xf numFmtId="0" fontId="1" fillId="0" borderId="0">
      <protection locked="0"/>
    </xf>
    <xf numFmtId="0" fontId="2" fillId="0" borderId="0"/>
    <xf numFmtId="0" fontId="18" fillId="0" borderId="0"/>
    <xf numFmtId="41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21" fillId="0" borderId="0">
      <alignment vertical="center"/>
    </xf>
    <xf numFmtId="0" fontId="1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8" borderId="9" applyNumberFormat="0" applyAlignment="0" applyProtection="0">
      <alignment vertical="center"/>
    </xf>
    <xf numFmtId="0" fontId="34" fillId="8" borderId="8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9" borderId="1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0" borderId="1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" fillId="0" borderId="0"/>
    <xf numFmtId="0" fontId="7" fillId="0" borderId="3">
      <alignment horizontal="left" vertical="center"/>
    </xf>
    <xf numFmtId="189" fontId="41" fillId="0" borderId="0"/>
    <xf numFmtId="0" fontId="42" fillId="0" borderId="0"/>
    <xf numFmtId="0" fontId="1" fillId="0" borderId="0">
      <alignment vertical="center"/>
    </xf>
    <xf numFmtId="178" fontId="1" fillId="0" borderId="0" applyFill="0" applyBorder="0" applyAlignment="0"/>
    <xf numFmtId="0" fontId="56" fillId="0" borderId="0" applyNumberFormat="0" applyFill="0" applyBorder="0" applyAlignment="0" applyProtection="0">
      <alignment vertical="center"/>
    </xf>
    <xf numFmtId="181" fontId="1" fillId="0" borderId="0"/>
    <xf numFmtId="181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  <xf numFmtId="41" fontId="1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43" fillId="0" borderId="4" xfId="164" applyBorder="1" applyAlignment="1" applyProtection="1">
      <alignment horizontal="center" vertical="center"/>
    </xf>
    <xf numFmtId="0" fontId="50" fillId="0" borderId="4" xfId="164" applyFont="1" applyBorder="1" applyAlignment="1" applyProtection="1">
      <alignment horizontal="center" vertical="center"/>
    </xf>
    <xf numFmtId="0" fontId="50" fillId="0" borderId="4" xfId="164" applyFont="1" applyFill="1" applyBorder="1" applyAlignment="1" applyProtection="1">
      <alignment horizontal="center" vertical="center" shrinkToFit="1"/>
    </xf>
    <xf numFmtId="0" fontId="51" fillId="0" borderId="4" xfId="96" applyFont="1" applyBorder="1" applyAlignment="1">
      <alignment horizontal="center" vertical="center"/>
    </xf>
    <xf numFmtId="0" fontId="49" fillId="0" borderId="4" xfId="164" applyFont="1" applyFill="1" applyBorder="1" applyAlignment="1" applyProtection="1">
      <alignment horizontal="center" vertical="center" shrinkToFit="1"/>
    </xf>
    <xf numFmtId="0" fontId="48" fillId="35" borderId="4" xfId="96" applyFont="1" applyFill="1" applyBorder="1" applyAlignment="1">
      <alignment horizontal="center" vertical="center" shrinkToFit="1"/>
    </xf>
    <xf numFmtId="0" fontId="44" fillId="0" borderId="4" xfId="96" applyNumberFormat="1" applyFont="1" applyFill="1" applyBorder="1" applyAlignment="1">
      <alignment horizontal="center" vertical="center" shrinkToFit="1"/>
    </xf>
    <xf numFmtId="0" fontId="44" fillId="0" borderId="4" xfId="96" applyNumberFormat="1" applyFont="1" applyFill="1" applyBorder="1" applyAlignment="1">
      <alignment horizontal="left" vertical="center" shrinkToFit="1"/>
    </xf>
    <xf numFmtId="0" fontId="45" fillId="0" borderId="4" xfId="96" applyFont="1" applyFill="1" applyBorder="1" applyAlignment="1">
      <alignment horizontal="left" vertical="center" shrinkToFit="1"/>
    </xf>
    <xf numFmtId="0" fontId="49" fillId="0" borderId="4" xfId="164" applyFont="1" applyFill="1" applyBorder="1" applyAlignment="1" applyProtection="1">
      <alignment horizontal="left" vertical="center" shrinkToFit="1"/>
    </xf>
    <xf numFmtId="0" fontId="45" fillId="0" borderId="4" xfId="164" applyFont="1" applyFill="1" applyBorder="1" applyAlignment="1" applyProtection="1">
      <alignment horizontal="left" vertical="center" shrinkToFit="1"/>
    </xf>
    <xf numFmtId="0" fontId="44" fillId="0" borderId="4" xfId="96" applyFont="1" applyFill="1" applyBorder="1" applyAlignment="1">
      <alignment horizontal="left" vertical="center" shrinkToFit="1"/>
    </xf>
    <xf numFmtId="0" fontId="44" fillId="0" borderId="4" xfId="96" applyFont="1" applyFill="1" applyBorder="1" applyAlignment="1">
      <alignment horizontal="center" vertical="center" shrinkToFit="1"/>
    </xf>
    <xf numFmtId="0" fontId="47" fillId="35" borderId="4" xfId="96" applyFont="1" applyFill="1" applyBorder="1" applyAlignment="1">
      <alignment horizontal="center" vertical="center" shrinkToFit="1"/>
    </xf>
    <xf numFmtId="188" fontId="22" fillId="0" borderId="0" xfId="0" applyNumberFormat="1" applyFont="1" applyAlignment="1">
      <alignment horizontal="center" vertical="center"/>
    </xf>
    <xf numFmtId="0" fontId="21" fillId="36" borderId="0" xfId="0" applyFont="1" applyFill="1" applyAlignment="1">
      <alignment horizontal="center" vertical="center"/>
    </xf>
    <xf numFmtId="0" fontId="21" fillId="36" borderId="4" xfId="0" applyFont="1" applyFill="1" applyBorder="1" applyAlignment="1">
      <alignment horizontal="center" vertical="center"/>
    </xf>
    <xf numFmtId="0" fontId="59" fillId="36" borderId="4" xfId="0" applyFont="1" applyFill="1" applyBorder="1" applyAlignment="1" applyProtection="1">
      <alignment horizontal="center" vertical="center"/>
      <protection locked="0"/>
    </xf>
    <xf numFmtId="0" fontId="59" fillId="36" borderId="25" xfId="0" applyFont="1" applyFill="1" applyBorder="1" applyAlignment="1" applyProtection="1">
      <alignment horizontal="center" vertical="center"/>
      <protection locked="0"/>
    </xf>
    <xf numFmtId="0" fontId="61" fillId="36" borderId="0" xfId="0" applyFont="1" applyFill="1" applyAlignment="1">
      <alignment horizontal="center" vertical="center"/>
    </xf>
    <xf numFmtId="0" fontId="21" fillId="36" borderId="26" xfId="0" applyFont="1" applyFill="1" applyBorder="1" applyAlignment="1">
      <alignment horizontal="center" vertical="top"/>
    </xf>
    <xf numFmtId="188" fontId="21" fillId="36" borderId="0" xfId="0" applyNumberFormat="1" applyFont="1" applyFill="1" applyAlignment="1">
      <alignment horizontal="left" vertical="center"/>
    </xf>
    <xf numFmtId="188" fontId="21" fillId="36" borderId="0" xfId="0" applyNumberFormat="1" applyFont="1" applyFill="1" applyAlignment="1">
      <alignment horizontal="center" vertical="center"/>
    </xf>
    <xf numFmtId="188" fontId="61" fillId="36" borderId="0" xfId="0" applyNumberFormat="1" applyFont="1" applyFill="1" applyAlignment="1">
      <alignment horizontal="center" vertical="center"/>
    </xf>
    <xf numFmtId="0" fontId="21" fillId="37" borderId="4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vertical="top"/>
    </xf>
    <xf numFmtId="0" fontId="21" fillId="36" borderId="24" xfId="0" applyFont="1" applyFill="1" applyBorder="1" applyAlignment="1">
      <alignment vertical="top"/>
    </xf>
    <xf numFmtId="0" fontId="62" fillId="36" borderId="36" xfId="0" applyFont="1" applyFill="1" applyBorder="1" applyAlignment="1">
      <alignment horizontal="center" vertical="center"/>
    </xf>
    <xf numFmtId="0" fontId="21" fillId="36" borderId="32" xfId="0" applyFont="1" applyFill="1" applyBorder="1" applyAlignment="1">
      <alignment horizontal="center" vertical="center"/>
    </xf>
    <xf numFmtId="0" fontId="59" fillId="36" borderId="41" xfId="0" applyFont="1" applyFill="1" applyBorder="1" applyAlignment="1" applyProtection="1">
      <alignment horizontal="center" vertical="center"/>
      <protection locked="0"/>
    </xf>
    <xf numFmtId="0" fontId="21" fillId="36" borderId="30" xfId="0" applyFont="1" applyFill="1" applyBorder="1" applyAlignment="1">
      <alignment horizontal="center" vertical="top"/>
    </xf>
    <xf numFmtId="0" fontId="21" fillId="36" borderId="0" xfId="0" applyFont="1" applyFill="1" applyBorder="1" applyAlignment="1">
      <alignment horizontal="center" vertical="top"/>
    </xf>
    <xf numFmtId="0" fontId="21" fillId="36" borderId="3" xfId="0" applyFont="1" applyFill="1" applyBorder="1" applyAlignment="1">
      <alignment horizontal="center" vertical="center"/>
    </xf>
    <xf numFmtId="0" fontId="21" fillId="36" borderId="0" xfId="0" applyFont="1" applyFill="1" applyBorder="1" applyAlignment="1">
      <alignment vertical="top"/>
    </xf>
    <xf numFmtId="0" fontId="21" fillId="36" borderId="26" xfId="0" applyFont="1" applyFill="1" applyBorder="1" applyAlignment="1">
      <alignment vertical="top"/>
    </xf>
    <xf numFmtId="0" fontId="21" fillId="36" borderId="30" xfId="0" applyFont="1" applyFill="1" applyBorder="1" applyAlignment="1">
      <alignment vertical="top"/>
    </xf>
    <xf numFmtId="0" fontId="21" fillId="36" borderId="31" xfId="0" applyFont="1" applyFill="1" applyBorder="1" applyAlignment="1">
      <alignment vertical="top"/>
    </xf>
    <xf numFmtId="0" fontId="21" fillId="36" borderId="27" xfId="0" applyFont="1" applyFill="1" applyBorder="1" applyAlignment="1">
      <alignment vertical="top"/>
    </xf>
    <xf numFmtId="0" fontId="21" fillId="36" borderId="28" xfId="0" applyFont="1" applyFill="1" applyBorder="1" applyAlignment="1">
      <alignment vertical="top"/>
    </xf>
    <xf numFmtId="0" fontId="21" fillId="36" borderId="4" xfId="0" applyFont="1" applyFill="1" applyBorder="1" applyAlignment="1">
      <alignment horizontal="center" vertical="center" shrinkToFit="1"/>
    </xf>
    <xf numFmtId="0" fontId="59" fillId="37" borderId="4" xfId="0" applyFont="1" applyFill="1" applyBorder="1" applyAlignment="1">
      <alignment horizontal="center" vertical="center" wrapText="1"/>
    </xf>
    <xf numFmtId="0" fontId="59" fillId="37" borderId="4" xfId="0" applyFont="1" applyFill="1" applyBorder="1" applyAlignment="1">
      <alignment horizontal="center" vertical="center"/>
    </xf>
    <xf numFmtId="0" fontId="21" fillId="36" borderId="0" xfId="0" applyFont="1" applyFill="1" applyBorder="1" applyAlignment="1">
      <alignment horizontal="right" vertical="center"/>
    </xf>
    <xf numFmtId="0" fontId="63" fillId="36" borderId="26" xfId="0" applyFont="1" applyFill="1" applyBorder="1" applyAlignment="1">
      <alignment horizontal="center" vertical="center"/>
    </xf>
    <xf numFmtId="0" fontId="59" fillId="37" borderId="41" xfId="0" applyFont="1" applyFill="1" applyBorder="1" applyAlignment="1">
      <alignment horizontal="center" vertical="center"/>
    </xf>
    <xf numFmtId="188" fontId="21" fillId="36" borderId="4" xfId="0" applyNumberFormat="1" applyFont="1" applyFill="1" applyBorder="1" applyAlignment="1">
      <alignment horizontal="center" vertical="center" shrinkToFit="1"/>
    </xf>
    <xf numFmtId="0" fontId="21" fillId="36" borderId="0" xfId="0" applyFont="1" applyFill="1" applyBorder="1" applyAlignment="1">
      <alignment horizontal="right"/>
    </xf>
    <xf numFmtId="0" fontId="63" fillId="36" borderId="26" xfId="0" applyFont="1" applyFill="1" applyBorder="1" applyAlignment="1">
      <alignment horizontal="center"/>
    </xf>
    <xf numFmtId="194" fontId="21" fillId="36" borderId="25" xfId="0" applyNumberFormat="1" applyFont="1" applyFill="1" applyBorder="1" applyAlignment="1">
      <alignment horizontal="center" vertical="center" shrinkToFit="1"/>
    </xf>
    <xf numFmtId="0" fontId="59" fillId="37" borderId="25" xfId="0" applyFont="1" applyFill="1" applyBorder="1" applyAlignment="1">
      <alignment horizontal="center" vertical="center" wrapText="1"/>
    </xf>
    <xf numFmtId="193" fontId="59" fillId="36" borderId="25" xfId="0" applyNumberFormat="1" applyFont="1" applyFill="1" applyBorder="1" applyAlignment="1" applyProtection="1">
      <alignment horizontal="center" vertical="center"/>
      <protection locked="0"/>
    </xf>
    <xf numFmtId="0" fontId="21" fillId="36" borderId="42" xfId="0" applyFont="1" applyFill="1" applyBorder="1" applyAlignment="1">
      <alignment vertical="top"/>
    </xf>
    <xf numFmtId="0" fontId="21" fillId="37" borderId="33" xfId="0" applyFont="1" applyFill="1" applyBorder="1" applyAlignment="1">
      <alignment horizontal="center" vertical="center"/>
    </xf>
    <xf numFmtId="0" fontId="21" fillId="37" borderId="32" xfId="0" applyFont="1" applyFill="1" applyBorder="1" applyAlignment="1">
      <alignment vertical="center"/>
    </xf>
    <xf numFmtId="188" fontId="0" fillId="36" borderId="0" xfId="0" applyNumberFormat="1" applyFill="1" applyAlignment="1">
      <alignment horizontal="center" vertical="center" shrinkToFit="1"/>
    </xf>
    <xf numFmtId="188" fontId="0" fillId="36" borderId="50" xfId="0" applyNumberFormat="1" applyFill="1" applyBorder="1" applyAlignment="1">
      <alignment horizontal="center" vertical="center" shrinkToFit="1"/>
    </xf>
    <xf numFmtId="188" fontId="0" fillId="36" borderId="51" xfId="0" applyNumberFormat="1" applyFill="1" applyBorder="1" applyAlignment="1">
      <alignment horizontal="center" vertical="center" shrinkToFit="1"/>
    </xf>
    <xf numFmtId="188" fontId="0" fillId="36" borderId="56" xfId="0" applyNumberFormat="1" applyFill="1" applyBorder="1" applyAlignment="1">
      <alignment horizontal="center" vertical="center" shrinkToFit="1"/>
    </xf>
    <xf numFmtId="188" fontId="0" fillId="36" borderId="0" xfId="0" applyNumberFormat="1" applyFill="1" applyBorder="1" applyAlignment="1">
      <alignment horizontal="center" vertical="center" shrinkToFit="1"/>
    </xf>
    <xf numFmtId="188" fontId="0" fillId="36" borderId="52" xfId="0" applyNumberFormat="1" applyFill="1" applyBorder="1" applyAlignment="1">
      <alignment horizontal="right" vertical="center" shrinkToFit="1"/>
    </xf>
    <xf numFmtId="188" fontId="0" fillId="36" borderId="53" xfId="0" applyNumberFormat="1" applyFill="1" applyBorder="1" applyAlignment="1">
      <alignment horizontal="right" vertical="center" shrinkToFit="1"/>
    </xf>
    <xf numFmtId="188" fontId="0" fillId="36" borderId="57" xfId="0" applyNumberFormat="1" applyFill="1" applyBorder="1" applyAlignment="1">
      <alignment horizontal="right" vertical="center" shrinkToFit="1"/>
    </xf>
    <xf numFmtId="188" fontId="0" fillId="36" borderId="58" xfId="0" applyNumberFormat="1" applyFill="1" applyBorder="1" applyAlignment="1">
      <alignment horizontal="right" vertical="center" shrinkToFit="1"/>
    </xf>
    <xf numFmtId="188" fontId="0" fillId="36" borderId="19" xfId="0" applyNumberFormat="1" applyFill="1" applyBorder="1" applyAlignment="1">
      <alignment horizontal="right" vertical="center" shrinkToFit="1"/>
    </xf>
    <xf numFmtId="188" fontId="0" fillId="36" borderId="22" xfId="0" applyNumberFormat="1" applyFill="1" applyBorder="1" applyAlignment="1">
      <alignment horizontal="right" vertical="center" shrinkToFit="1"/>
    </xf>
    <xf numFmtId="188" fontId="0" fillId="39" borderId="56" xfId="0" applyNumberFormat="1" applyFill="1" applyBorder="1" applyAlignment="1">
      <alignment horizontal="center" vertical="center" shrinkToFit="1"/>
    </xf>
    <xf numFmtId="188" fontId="0" fillId="39" borderId="52" xfId="0" applyNumberFormat="1" applyFill="1" applyBorder="1" applyAlignment="1">
      <alignment horizontal="right" vertical="center" shrinkToFit="1"/>
    </xf>
    <xf numFmtId="188" fontId="0" fillId="39" borderId="53" xfId="0" applyNumberFormat="1" applyFill="1" applyBorder="1" applyAlignment="1">
      <alignment horizontal="right" vertical="center" shrinkToFit="1"/>
    </xf>
    <xf numFmtId="188" fontId="0" fillId="39" borderId="57" xfId="0" applyNumberFormat="1" applyFill="1" applyBorder="1" applyAlignment="1">
      <alignment horizontal="right" vertical="center" shrinkToFit="1"/>
    </xf>
    <xf numFmtId="188" fontId="0" fillId="39" borderId="58" xfId="0" applyNumberFormat="1" applyFill="1" applyBorder="1" applyAlignment="1">
      <alignment horizontal="right" vertical="center" shrinkToFit="1"/>
    </xf>
    <xf numFmtId="9" fontId="0" fillId="36" borderId="47" xfId="0" applyNumberFormat="1" applyFill="1" applyBorder="1" applyAlignment="1">
      <alignment vertical="center" shrinkToFit="1"/>
    </xf>
    <xf numFmtId="188" fontId="59" fillId="38" borderId="64" xfId="0" applyNumberFormat="1" applyFont="1" applyFill="1" applyBorder="1" applyAlignment="1">
      <alignment horizontal="center" vertical="center" shrinkToFit="1"/>
    </xf>
    <xf numFmtId="188" fontId="0" fillId="0" borderId="22" xfId="0" applyNumberFormat="1" applyFill="1" applyBorder="1" applyAlignment="1">
      <alignment horizontal="right" vertical="center" shrinkToFit="1"/>
    </xf>
    <xf numFmtId="9" fontId="0" fillId="0" borderId="47" xfId="0" applyNumberFormat="1" applyFill="1" applyBorder="1" applyAlignment="1">
      <alignment vertical="center" shrinkToFit="1"/>
    </xf>
    <xf numFmtId="188" fontId="0" fillId="0" borderId="56" xfId="0" applyNumberFormat="1" applyFill="1" applyBorder="1" applyAlignment="1">
      <alignment horizontal="center" vertical="center" shrinkToFit="1"/>
    </xf>
    <xf numFmtId="188" fontId="0" fillId="0" borderId="52" xfId="0" applyNumberFormat="1" applyFill="1" applyBorder="1" applyAlignment="1">
      <alignment horizontal="right" vertical="center" shrinkToFit="1"/>
    </xf>
    <xf numFmtId="188" fontId="0" fillId="0" borderId="53" xfId="0" applyNumberFormat="1" applyFill="1" applyBorder="1" applyAlignment="1">
      <alignment horizontal="right" vertical="center" shrinkToFit="1"/>
    </xf>
    <xf numFmtId="188" fontId="0" fillId="0" borderId="57" xfId="0" applyNumberFormat="1" applyFill="1" applyBorder="1" applyAlignment="1">
      <alignment horizontal="right" vertical="center" shrinkToFit="1"/>
    </xf>
    <xf numFmtId="188" fontId="0" fillId="0" borderId="58" xfId="0" applyNumberFormat="1" applyFill="1" applyBorder="1" applyAlignment="1">
      <alignment horizontal="right" vertical="center" shrinkToFit="1"/>
    </xf>
    <xf numFmtId="0" fontId="22" fillId="38" borderId="16" xfId="0" applyFont="1" applyFill="1" applyBorder="1" applyAlignment="1">
      <alignment horizontal="center" vertical="center"/>
    </xf>
    <xf numFmtId="192" fontId="22" fillId="38" borderId="16" xfId="0" applyNumberFormat="1" applyFont="1" applyFill="1" applyBorder="1" applyAlignment="1">
      <alignment horizontal="center" vertical="center"/>
    </xf>
    <xf numFmtId="190" fontId="22" fillId="38" borderId="16" xfId="0" applyNumberFormat="1" applyFont="1" applyFill="1" applyBorder="1" applyAlignment="1">
      <alignment horizontal="center" vertical="center"/>
    </xf>
    <xf numFmtId="191" fontId="22" fillId="38" borderId="16" xfId="0" applyNumberFormat="1" applyFont="1" applyFill="1" applyBorder="1" applyAlignment="1">
      <alignment horizontal="center" vertical="center"/>
    </xf>
    <xf numFmtId="188" fontId="22" fillId="38" borderId="16" xfId="0" applyNumberFormat="1" applyFont="1" applyFill="1" applyBorder="1" applyAlignment="1">
      <alignment horizontal="center" vertical="center"/>
    </xf>
    <xf numFmtId="0" fontId="22" fillId="40" borderId="16" xfId="0" applyFont="1" applyFill="1" applyBorder="1" applyAlignment="1">
      <alignment horizontal="center" vertical="center"/>
    </xf>
    <xf numFmtId="31" fontId="22" fillId="40" borderId="16" xfId="0" applyNumberFormat="1" applyFont="1" applyFill="1" applyBorder="1" applyAlignment="1">
      <alignment horizontal="center" vertical="center"/>
    </xf>
    <xf numFmtId="182" fontId="22" fillId="38" borderId="16" xfId="0" applyNumberFormat="1" applyFont="1" applyFill="1" applyBorder="1" applyAlignment="1">
      <alignment horizontal="right" vertical="center"/>
    </xf>
    <xf numFmtId="188" fontId="22" fillId="38" borderId="16" xfId="0" applyNumberFormat="1" applyFont="1" applyFill="1" applyBorder="1" applyAlignment="1">
      <alignment horizontal="right" vertical="center"/>
    </xf>
    <xf numFmtId="0" fontId="22" fillId="40" borderId="16" xfId="0" applyFont="1" applyFill="1" applyBorder="1" applyAlignment="1">
      <alignment horizontal="center" vertical="center" wrapText="1"/>
    </xf>
    <xf numFmtId="0" fontId="22" fillId="38" borderId="16" xfId="0" applyFont="1" applyFill="1" applyBorder="1" applyAlignment="1">
      <alignment horizontal="center" vertical="center" wrapText="1"/>
    </xf>
    <xf numFmtId="49" fontId="22" fillId="38" borderId="16" xfId="0" applyNumberFormat="1" applyFont="1" applyFill="1" applyBorder="1" applyAlignment="1">
      <alignment horizontal="center" vertical="center"/>
    </xf>
    <xf numFmtId="188" fontId="22" fillId="38" borderId="16" xfId="0" applyNumberFormat="1" applyFont="1" applyFill="1" applyBorder="1" applyAlignment="1">
      <alignment horizontal="center" vertical="center" wrapText="1"/>
    </xf>
    <xf numFmtId="0" fontId="22" fillId="38" borderId="16" xfId="0" applyFont="1" applyFill="1" applyBorder="1" applyAlignment="1">
      <alignment horizontal="right" vertical="center"/>
    </xf>
    <xf numFmtId="188" fontId="66" fillId="38" borderId="16" xfId="0" applyNumberFormat="1" applyFont="1" applyFill="1" applyBorder="1" applyAlignment="1">
      <alignment horizontal="center" vertical="center"/>
    </xf>
    <xf numFmtId="0" fontId="66" fillId="38" borderId="16" xfId="0" applyFont="1" applyFill="1" applyBorder="1" applyAlignment="1">
      <alignment horizontal="center" vertical="center"/>
    </xf>
    <xf numFmtId="0" fontId="60" fillId="36" borderId="38" xfId="0" applyFont="1" applyFill="1" applyBorder="1" applyAlignment="1">
      <alignment horizontal="center" vertical="center" wrapText="1"/>
    </xf>
    <xf numFmtId="0" fontId="60" fillId="36" borderId="34" xfId="0" applyFont="1" applyFill="1" applyBorder="1" applyAlignment="1">
      <alignment horizontal="center" vertical="center" wrapText="1"/>
    </xf>
    <xf numFmtId="0" fontId="60" fillId="36" borderId="39" xfId="0" applyFont="1" applyFill="1" applyBorder="1" applyAlignment="1">
      <alignment horizontal="center" vertical="center" wrapText="1"/>
    </xf>
    <xf numFmtId="0" fontId="60" fillId="36" borderId="37" xfId="0" applyFont="1" applyFill="1" applyBorder="1" applyAlignment="1">
      <alignment horizontal="center" vertical="center"/>
    </xf>
    <xf numFmtId="0" fontId="21" fillId="36" borderId="67" xfId="0" applyFont="1" applyFill="1" applyBorder="1" applyAlignment="1">
      <alignment horizontal="left" vertical="center" indent="1"/>
    </xf>
    <xf numFmtId="0" fontId="21" fillId="36" borderId="62" xfId="0" applyFont="1" applyFill="1" applyBorder="1" applyAlignment="1">
      <alignment horizontal="left" vertical="center" indent="1"/>
    </xf>
    <xf numFmtId="0" fontId="21" fillId="36" borderId="61" xfId="0" applyFont="1" applyFill="1" applyBorder="1" applyAlignment="1">
      <alignment horizontal="left" vertical="center" indent="1"/>
    </xf>
    <xf numFmtId="0" fontId="21" fillId="36" borderId="68" xfId="0" applyFont="1" applyFill="1" applyBorder="1" applyAlignment="1">
      <alignment horizontal="left" vertical="center" indent="1"/>
    </xf>
    <xf numFmtId="192" fontId="21" fillId="36" borderId="69" xfId="0" applyNumberFormat="1" applyFont="1" applyFill="1" applyBorder="1" applyAlignment="1" applyProtection="1">
      <alignment horizontal="right" vertical="center" indent="2" shrinkToFit="1"/>
      <protection locked="0"/>
    </xf>
    <xf numFmtId="192" fontId="21" fillId="36" borderId="70" xfId="0" applyNumberFormat="1" applyFont="1" applyFill="1" applyBorder="1" applyAlignment="1" applyProtection="1">
      <alignment horizontal="right" vertical="center" indent="2" shrinkToFit="1"/>
      <protection locked="0"/>
    </xf>
    <xf numFmtId="194" fontId="21" fillId="36" borderId="66" xfId="0" applyNumberFormat="1" applyFont="1" applyFill="1" applyBorder="1" applyAlignment="1" applyProtection="1">
      <alignment horizontal="right" vertical="center" indent="2" shrinkToFit="1"/>
      <protection locked="0"/>
    </xf>
    <xf numFmtId="194" fontId="21" fillId="36" borderId="71" xfId="0" applyNumberFormat="1" applyFont="1" applyFill="1" applyBorder="1" applyAlignment="1" applyProtection="1">
      <alignment horizontal="right" vertical="center" indent="2" shrinkToFit="1"/>
      <protection locked="0"/>
    </xf>
    <xf numFmtId="195" fontId="21" fillId="36" borderId="66" xfId="0" applyNumberFormat="1" applyFont="1" applyFill="1" applyBorder="1" applyAlignment="1" applyProtection="1">
      <alignment horizontal="right" vertical="center" indent="2" shrinkToFit="1"/>
      <protection locked="0"/>
    </xf>
    <xf numFmtId="195" fontId="21" fillId="36" borderId="72" xfId="0" applyNumberFormat="1" applyFont="1" applyFill="1" applyBorder="1" applyAlignment="1" applyProtection="1">
      <alignment horizontal="right" vertical="center" indent="2" shrinkToFit="1"/>
      <protection locked="0"/>
    </xf>
    <xf numFmtId="0" fontId="21" fillId="36" borderId="63" xfId="0" applyFont="1" applyFill="1" applyBorder="1" applyAlignment="1">
      <alignment horizontal="left" vertical="center" indent="1"/>
    </xf>
    <xf numFmtId="0" fontId="64" fillId="36" borderId="73" xfId="167" applyFont="1" applyFill="1" applyBorder="1" applyAlignment="1">
      <alignment horizontal="left" vertical="center" indent="1"/>
    </xf>
    <xf numFmtId="0" fontId="64" fillId="36" borderId="71" xfId="167" applyFont="1" applyFill="1" applyBorder="1" applyAlignment="1">
      <alignment horizontal="left" vertical="center" indent="1"/>
    </xf>
    <xf numFmtId="0" fontId="44" fillId="0" borderId="4" xfId="96" applyFont="1" applyFill="1" applyBorder="1" applyAlignment="1">
      <alignment horizontal="center" vertical="center" wrapText="1" shrinkToFit="1"/>
    </xf>
    <xf numFmtId="0" fontId="67" fillId="36" borderId="0" xfId="0" applyFont="1" applyFill="1" applyAlignment="1">
      <alignment horizontal="center" vertical="center"/>
    </xf>
    <xf numFmtId="194" fontId="67" fillId="37" borderId="74" xfId="0" applyNumberFormat="1" applyFont="1" applyFill="1" applyBorder="1" applyAlignment="1">
      <alignment horizontal="center" vertical="top" shrinkToFit="1"/>
    </xf>
    <xf numFmtId="193" fontId="21" fillId="36" borderId="41" xfId="0" applyNumberFormat="1" applyFont="1" applyFill="1" applyBorder="1" applyAlignment="1">
      <alignment horizontal="center" vertical="center" shrinkToFit="1"/>
    </xf>
    <xf numFmtId="188" fontId="21" fillId="36" borderId="0" xfId="0" applyNumberFormat="1" applyFont="1" applyFill="1" applyBorder="1" applyAlignment="1">
      <alignment horizontal="right"/>
    </xf>
    <xf numFmtId="0" fontId="37" fillId="0" borderId="0" xfId="0" applyFont="1">
      <alignment vertical="center"/>
    </xf>
    <xf numFmtId="188" fontId="22" fillId="40" borderId="16" xfId="0" applyNumberFormat="1" applyFont="1" applyFill="1" applyBorder="1" applyAlignment="1">
      <alignment horizontal="center" vertical="center"/>
    </xf>
    <xf numFmtId="188" fontId="22" fillId="40" borderId="16" xfId="0" applyNumberFormat="1" applyFont="1" applyFill="1" applyBorder="1" applyAlignment="1">
      <alignment horizontal="center" vertical="center" wrapText="1"/>
    </xf>
    <xf numFmtId="188" fontId="66" fillId="38" borderId="16" xfId="0" applyNumberFormat="1" applyFont="1" applyFill="1" applyBorder="1" applyAlignment="1">
      <alignment horizontal="center" vertical="center"/>
    </xf>
    <xf numFmtId="188" fontId="0" fillId="0" borderId="50" xfId="0" applyNumberFormat="1" applyFill="1" applyBorder="1" applyAlignment="1">
      <alignment horizontal="center" vertical="center" shrinkToFit="1"/>
    </xf>
    <xf numFmtId="188" fontId="0" fillId="0" borderId="51" xfId="0" applyNumberFormat="1" applyFill="1" applyBorder="1" applyAlignment="1">
      <alignment horizontal="center" vertical="center" shrinkToFit="1"/>
    </xf>
    <xf numFmtId="188" fontId="0" fillId="36" borderId="76" xfId="0" applyNumberFormat="1" applyFill="1" applyBorder="1" applyAlignment="1">
      <alignment horizontal="right" vertical="center" shrinkToFit="1"/>
    </xf>
    <xf numFmtId="9" fontId="0" fillId="36" borderId="77" xfId="0" applyNumberFormat="1" applyFill="1" applyBorder="1" applyAlignment="1">
      <alignment vertical="center" shrinkToFit="1"/>
    </xf>
    <xf numFmtId="188" fontId="0" fillId="36" borderId="80" xfId="0" applyNumberFormat="1" applyFill="1" applyBorder="1" applyAlignment="1">
      <alignment horizontal="right" vertical="center" shrinkToFit="1"/>
    </xf>
    <xf numFmtId="9" fontId="0" fillId="36" borderId="81" xfId="0" applyNumberFormat="1" applyFill="1" applyBorder="1" applyAlignment="1">
      <alignment vertical="center" shrinkToFit="1"/>
    </xf>
    <xf numFmtId="188" fontId="0" fillId="40" borderId="16" xfId="0" applyNumberFormat="1" applyFill="1" applyBorder="1" applyAlignment="1">
      <alignment horizontal="center" vertical="center" shrinkToFit="1"/>
    </xf>
    <xf numFmtId="188" fontId="0" fillId="40" borderId="48" xfId="0" applyNumberFormat="1" applyFill="1" applyBorder="1" applyAlignment="1">
      <alignment horizontal="center" vertical="center" shrinkToFit="1"/>
    </xf>
    <xf numFmtId="188" fontId="0" fillId="40" borderId="79" xfId="0" applyNumberFormat="1" applyFill="1" applyBorder="1" applyAlignment="1">
      <alignment horizontal="center" vertical="center" shrinkToFit="1"/>
    </xf>
    <xf numFmtId="188" fontId="0" fillId="40" borderId="50" xfId="0" applyNumberFormat="1" applyFill="1" applyBorder="1" applyAlignment="1">
      <alignment horizontal="center" vertical="center" shrinkToFit="1"/>
    </xf>
    <xf numFmtId="188" fontId="0" fillId="40" borderId="52" xfId="0" applyNumberFormat="1" applyFill="1" applyBorder="1" applyAlignment="1">
      <alignment horizontal="right" vertical="center" shrinkToFit="1"/>
    </xf>
    <xf numFmtId="188" fontId="0" fillId="40" borderId="53" xfId="0" applyNumberFormat="1" applyFill="1" applyBorder="1" applyAlignment="1">
      <alignment horizontal="right" vertical="center" shrinkToFit="1"/>
    </xf>
    <xf numFmtId="188" fontId="0" fillId="40" borderId="57" xfId="0" applyNumberFormat="1" applyFill="1" applyBorder="1" applyAlignment="1">
      <alignment horizontal="right" vertical="center" shrinkToFit="1"/>
    </xf>
    <xf numFmtId="188" fontId="0" fillId="40" borderId="58" xfId="0" applyNumberFormat="1" applyFill="1" applyBorder="1" applyAlignment="1">
      <alignment horizontal="right" vertical="center" shrinkToFit="1"/>
    </xf>
    <xf numFmtId="9" fontId="0" fillId="40" borderId="81" xfId="0" applyNumberFormat="1" applyFill="1" applyBorder="1" applyAlignment="1">
      <alignment vertical="center" shrinkToFit="1"/>
    </xf>
    <xf numFmtId="188" fontId="0" fillId="40" borderId="83" xfId="0" applyNumberFormat="1" applyFill="1" applyBorder="1" applyAlignment="1">
      <alignment horizontal="center" vertical="center" shrinkToFit="1"/>
    </xf>
    <xf numFmtId="188" fontId="0" fillId="39" borderId="84" xfId="0" applyNumberFormat="1" applyFill="1" applyBorder="1" applyAlignment="1">
      <alignment horizontal="right" vertical="center" shrinkToFit="1"/>
    </xf>
    <xf numFmtId="3" fontId="22" fillId="40" borderId="16" xfId="0" applyNumberFormat="1" applyFont="1" applyFill="1" applyBorder="1" applyAlignment="1">
      <alignment horizontal="center" vertical="center"/>
    </xf>
    <xf numFmtId="188" fontId="0" fillId="36" borderId="76" xfId="0" applyNumberFormat="1" applyFill="1" applyBorder="1" applyAlignment="1">
      <alignment horizontal="center" vertical="center" shrinkToFit="1"/>
    </xf>
    <xf numFmtId="188" fontId="0" fillId="36" borderId="48" xfId="0" applyNumberFormat="1" applyFill="1" applyBorder="1" applyAlignment="1">
      <alignment horizontal="center" vertical="center" shrinkToFit="1"/>
    </xf>
    <xf numFmtId="188" fontId="0" fillId="36" borderId="80" xfId="0" applyNumberFormat="1" applyFill="1" applyBorder="1" applyAlignment="1">
      <alignment horizontal="center" vertical="center" shrinkToFit="1"/>
    </xf>
    <xf numFmtId="196" fontId="21" fillId="36" borderId="74" xfId="0" applyNumberFormat="1" applyFont="1" applyFill="1" applyBorder="1" applyAlignment="1">
      <alignment horizontal="right" vertical="center" indent="2" shrinkToFit="1"/>
    </xf>
    <xf numFmtId="0" fontId="60" fillId="36" borderId="85" xfId="0" applyFont="1" applyFill="1" applyBorder="1" applyAlignment="1">
      <alignment horizontal="center" vertical="center" wrapText="1"/>
    </xf>
    <xf numFmtId="192" fontId="21" fillId="36" borderId="70" xfId="0" applyNumberFormat="1" applyFont="1" applyFill="1" applyBorder="1" applyAlignment="1">
      <alignment horizontal="right" vertical="center" indent="2" shrinkToFit="1"/>
    </xf>
    <xf numFmtId="0" fontId="62" fillId="36" borderId="37" xfId="0" applyFont="1" applyFill="1" applyBorder="1" applyAlignment="1">
      <alignment horizontal="center" vertical="center" wrapText="1"/>
    </xf>
    <xf numFmtId="188" fontId="0" fillId="36" borderId="86" xfId="0" applyNumberFormat="1" applyFill="1" applyBorder="1" applyAlignment="1">
      <alignment horizontal="center" vertical="center" shrinkToFit="1"/>
    </xf>
    <xf numFmtId="188" fontId="0" fillId="36" borderId="16" xfId="0" applyNumberFormat="1" applyFill="1" applyBorder="1" applyAlignment="1">
      <alignment horizontal="center" vertical="center" shrinkToFit="1"/>
    </xf>
    <xf numFmtId="41" fontId="0" fillId="36" borderId="52" xfId="0" applyNumberFormat="1" applyFill="1" applyBorder="1" applyAlignment="1">
      <alignment horizontal="right" vertical="center" shrinkToFit="1"/>
    </xf>
    <xf numFmtId="41" fontId="0" fillId="36" borderId="53" xfId="0" applyNumberFormat="1" applyFill="1" applyBorder="1" applyAlignment="1">
      <alignment horizontal="right" vertical="center" shrinkToFit="1"/>
    </xf>
    <xf numFmtId="41" fontId="0" fillId="40" borderId="49" xfId="0" applyNumberFormat="1" applyFill="1" applyBorder="1" applyAlignment="1">
      <alignment horizontal="center" vertical="center" shrinkToFit="1"/>
    </xf>
    <xf numFmtId="41" fontId="0" fillId="40" borderId="87" xfId="0" applyNumberFormat="1" applyFill="1" applyBorder="1" applyAlignment="1">
      <alignment horizontal="center" vertical="center" shrinkToFit="1"/>
    </xf>
    <xf numFmtId="41" fontId="0" fillId="40" borderId="51" xfId="0" applyNumberFormat="1" applyFill="1" applyBorder="1" applyAlignment="1">
      <alignment horizontal="center" vertical="center" shrinkToFit="1"/>
    </xf>
    <xf numFmtId="0" fontId="58" fillId="36" borderId="29" xfId="0" applyFont="1" applyFill="1" applyBorder="1" applyAlignment="1">
      <alignment horizontal="center" vertical="center"/>
    </xf>
    <xf numFmtId="0" fontId="58" fillId="36" borderId="14" xfId="0" applyFont="1" applyFill="1" applyBorder="1" applyAlignment="1">
      <alignment horizontal="center" vertical="center"/>
    </xf>
    <xf numFmtId="0" fontId="58" fillId="36" borderId="40" xfId="0" applyFont="1" applyFill="1" applyBorder="1" applyAlignment="1">
      <alignment horizontal="center" vertical="center"/>
    </xf>
    <xf numFmtId="0" fontId="60" fillId="36" borderId="0" xfId="0" applyFont="1" applyFill="1" applyAlignment="1">
      <alignment horizontal="left" vertical="center"/>
    </xf>
    <xf numFmtId="0" fontId="68" fillId="36" borderId="30" xfId="0" applyFont="1" applyFill="1" applyBorder="1" applyAlignment="1">
      <alignment horizontal="left" vertical="top" wrapText="1"/>
    </xf>
    <xf numFmtId="0" fontId="68" fillId="36" borderId="0" xfId="0" applyFont="1" applyFill="1" applyBorder="1" applyAlignment="1">
      <alignment horizontal="left" vertical="top"/>
    </xf>
    <xf numFmtId="0" fontId="68" fillId="36" borderId="26" xfId="0" applyFont="1" applyFill="1" applyBorder="1" applyAlignment="1">
      <alignment horizontal="left" vertical="top"/>
    </xf>
    <xf numFmtId="0" fontId="68" fillId="36" borderId="30" xfId="0" applyFont="1" applyFill="1" applyBorder="1" applyAlignment="1">
      <alignment horizontal="left" vertical="top"/>
    </xf>
    <xf numFmtId="0" fontId="68" fillId="36" borderId="31" xfId="0" applyFont="1" applyFill="1" applyBorder="1" applyAlignment="1">
      <alignment horizontal="left" vertical="top"/>
    </xf>
    <xf numFmtId="0" fontId="68" fillId="36" borderId="27" xfId="0" applyFont="1" applyFill="1" applyBorder="1" applyAlignment="1">
      <alignment horizontal="left" vertical="top"/>
    </xf>
    <xf numFmtId="0" fontId="68" fillId="36" borderId="28" xfId="0" applyFont="1" applyFill="1" applyBorder="1" applyAlignment="1">
      <alignment horizontal="left" vertical="top"/>
    </xf>
    <xf numFmtId="0" fontId="67" fillId="40" borderId="15" xfId="0" applyFont="1" applyFill="1" applyBorder="1" applyAlignment="1">
      <alignment horizontal="center" vertical="center" wrapText="1"/>
    </xf>
    <xf numFmtId="0" fontId="67" fillId="40" borderId="62" xfId="0" applyFont="1" applyFill="1" applyBorder="1" applyAlignment="1">
      <alignment horizontal="center" vertical="center"/>
    </xf>
    <xf numFmtId="0" fontId="67" fillId="40" borderId="17" xfId="0" applyFont="1" applyFill="1" applyBorder="1" applyAlignment="1">
      <alignment horizontal="center" vertical="center"/>
    </xf>
    <xf numFmtId="0" fontId="21" fillId="37" borderId="44" xfId="0" applyFont="1" applyFill="1" applyBorder="1" applyAlignment="1">
      <alignment horizontal="center" vertical="center" wrapText="1"/>
    </xf>
    <xf numFmtId="0" fontId="21" fillId="37" borderId="45" xfId="0" applyFont="1" applyFill="1" applyBorder="1" applyAlignment="1">
      <alignment horizontal="center" vertical="center" wrapText="1"/>
    </xf>
    <xf numFmtId="0" fontId="21" fillId="37" borderId="74" xfId="0" applyFont="1" applyFill="1" applyBorder="1" applyAlignment="1">
      <alignment horizontal="center" vertical="center"/>
    </xf>
    <xf numFmtId="0" fontId="21" fillId="37" borderId="46" xfId="0" applyFont="1" applyFill="1" applyBorder="1" applyAlignment="1">
      <alignment horizontal="center" vertical="center"/>
    </xf>
    <xf numFmtId="0" fontId="67" fillId="40" borderId="47" xfId="0" applyFont="1" applyFill="1" applyBorder="1" applyAlignment="1">
      <alignment horizontal="center" vertical="center"/>
    </xf>
    <xf numFmtId="0" fontId="67" fillId="40" borderId="63" xfId="0" applyFont="1" applyFill="1" applyBorder="1" applyAlignment="1">
      <alignment horizontal="center" vertical="center"/>
    </xf>
    <xf numFmtId="0" fontId="67" fillId="40" borderId="21" xfId="0" applyFont="1" applyFill="1" applyBorder="1" applyAlignment="1">
      <alignment horizontal="center" vertical="center"/>
    </xf>
    <xf numFmtId="0" fontId="67" fillId="40" borderId="64" xfId="0" applyFont="1" applyFill="1" applyBorder="1" applyAlignment="1">
      <alignment horizontal="center" vertical="center"/>
    </xf>
    <xf numFmtId="0" fontId="67" fillId="40" borderId="0" xfId="0" applyFont="1" applyFill="1" applyBorder="1" applyAlignment="1">
      <alignment horizontal="center" vertical="center"/>
    </xf>
    <xf numFmtId="0" fontId="67" fillId="40" borderId="75" xfId="0" applyFont="1" applyFill="1" applyBorder="1" applyAlignment="1">
      <alignment horizontal="center" vertical="center"/>
    </xf>
    <xf numFmtId="0" fontId="67" fillId="40" borderId="18" xfId="0" applyFont="1" applyFill="1" applyBorder="1" applyAlignment="1">
      <alignment horizontal="center" vertical="center"/>
    </xf>
    <xf numFmtId="0" fontId="67" fillId="40" borderId="61" xfId="0" applyFont="1" applyFill="1" applyBorder="1" applyAlignment="1">
      <alignment horizontal="center" vertical="center"/>
    </xf>
    <xf numFmtId="0" fontId="67" fillId="40" borderId="20" xfId="0" applyFont="1" applyFill="1" applyBorder="1" applyAlignment="1">
      <alignment horizontal="center" vertical="center"/>
    </xf>
    <xf numFmtId="0" fontId="21" fillId="37" borderId="46" xfId="0" applyFont="1" applyFill="1" applyBorder="1" applyAlignment="1">
      <alignment horizontal="center" vertical="center" wrapText="1"/>
    </xf>
    <xf numFmtId="0" fontId="60" fillId="36" borderId="23" xfId="0" applyFont="1" applyFill="1" applyBorder="1" applyAlignment="1">
      <alignment horizontal="left" vertical="center"/>
    </xf>
    <xf numFmtId="0" fontId="58" fillId="36" borderId="32" xfId="0" applyFont="1" applyFill="1" applyBorder="1" applyAlignment="1">
      <alignment horizontal="center" vertical="center"/>
    </xf>
    <xf numFmtId="0" fontId="58" fillId="36" borderId="3" xfId="0" applyFont="1" applyFill="1" applyBorder="1" applyAlignment="1">
      <alignment horizontal="center" vertical="center"/>
    </xf>
    <xf numFmtId="0" fontId="58" fillId="36" borderId="41" xfId="0" applyFont="1" applyFill="1" applyBorder="1" applyAlignment="1">
      <alignment horizontal="center" vertical="center"/>
    </xf>
    <xf numFmtId="188" fontId="66" fillId="38" borderId="16" xfId="0" applyNumberFormat="1" applyFont="1" applyFill="1" applyBorder="1" applyAlignment="1">
      <alignment horizontal="center" vertical="center"/>
    </xf>
    <xf numFmtId="9" fontId="0" fillId="40" borderId="18" xfId="0" applyNumberFormat="1" applyFill="1" applyBorder="1" applyAlignment="1">
      <alignment horizontal="center" vertical="center" shrinkToFit="1"/>
    </xf>
    <xf numFmtId="9" fontId="0" fillId="40" borderId="78" xfId="0" applyNumberFormat="1" applyFill="1" applyBorder="1" applyAlignment="1">
      <alignment horizontal="center" vertical="center" shrinkToFit="1"/>
    </xf>
    <xf numFmtId="188" fontId="0" fillId="36" borderId="0" xfId="0" applyNumberFormat="1" applyFill="1" applyAlignment="1">
      <alignment horizontal="left" vertical="center" shrinkToFit="1"/>
    </xf>
    <xf numFmtId="188" fontId="0" fillId="36" borderId="80" xfId="0" applyNumberFormat="1" applyFill="1" applyBorder="1" applyAlignment="1">
      <alignment horizontal="center" vertical="center" shrinkToFit="1"/>
    </xf>
    <xf numFmtId="188" fontId="0" fillId="36" borderId="81" xfId="0" applyNumberFormat="1" applyFill="1" applyBorder="1" applyAlignment="1">
      <alignment horizontal="center" vertical="center" shrinkToFit="1"/>
    </xf>
    <xf numFmtId="188" fontId="0" fillId="36" borderId="82" xfId="0" applyNumberFormat="1" applyFill="1" applyBorder="1" applyAlignment="1">
      <alignment horizontal="center" vertical="center" shrinkToFit="1"/>
    </xf>
    <xf numFmtId="188" fontId="59" fillId="38" borderId="64" xfId="0" applyNumberFormat="1" applyFont="1" applyFill="1" applyBorder="1" applyAlignment="1">
      <alignment horizontal="center" vertical="center" shrinkToFit="1"/>
    </xf>
    <xf numFmtId="188" fontId="59" fillId="38" borderId="0" xfId="0" applyNumberFormat="1" applyFont="1" applyFill="1" applyBorder="1" applyAlignment="1">
      <alignment horizontal="center" vertical="center" shrinkToFit="1"/>
    </xf>
    <xf numFmtId="9" fontId="0" fillId="40" borderId="35" xfId="0" applyNumberFormat="1" applyFill="1" applyBorder="1" applyAlignment="1">
      <alignment horizontal="center" vertical="center" shrinkToFit="1"/>
    </xf>
    <xf numFmtId="9" fontId="0" fillId="40" borderId="73" xfId="0" applyNumberFormat="1" applyFill="1" applyBorder="1" applyAlignment="1">
      <alignment horizontal="center" vertical="center" shrinkToFit="1"/>
    </xf>
    <xf numFmtId="188" fontId="0" fillId="36" borderId="43" xfId="0" applyNumberFormat="1" applyFill="1" applyBorder="1" applyAlignment="1">
      <alignment horizontal="center" vertical="center" shrinkToFit="1"/>
    </xf>
    <xf numFmtId="188" fontId="0" fillId="36" borderId="49" xfId="0" applyNumberFormat="1" applyFill="1" applyBorder="1" applyAlignment="1">
      <alignment horizontal="center" vertical="center" shrinkToFit="1"/>
    </xf>
    <xf numFmtId="188" fontId="59" fillId="38" borderId="65" xfId="0" applyNumberFormat="1" applyFont="1" applyFill="1" applyBorder="1" applyAlignment="1">
      <alignment horizontal="center" vertical="center" shrinkToFit="1"/>
    </xf>
    <xf numFmtId="188" fontId="0" fillId="36" borderId="35" xfId="0" applyNumberFormat="1" applyFill="1" applyBorder="1" applyAlignment="1">
      <alignment horizontal="center" vertical="center" shrinkToFit="1"/>
    </xf>
    <xf numFmtId="188" fontId="0" fillId="36" borderId="48" xfId="0" applyNumberFormat="1" applyFill="1" applyBorder="1" applyAlignment="1">
      <alignment horizontal="center" vertical="center" shrinkToFit="1"/>
    </xf>
    <xf numFmtId="188" fontId="0" fillId="36" borderId="59" xfId="0" applyNumberFormat="1" applyFill="1" applyBorder="1" applyAlignment="1">
      <alignment horizontal="center" vertical="center" shrinkToFit="1"/>
    </xf>
    <xf numFmtId="188" fontId="0" fillId="36" borderId="60" xfId="0" applyNumberFormat="1" applyFill="1" applyBorder="1" applyAlignment="1">
      <alignment horizontal="center" vertical="center" shrinkToFit="1"/>
    </xf>
    <xf numFmtId="188" fontId="0" fillId="36" borderId="14" xfId="0" applyNumberFormat="1" applyFill="1" applyBorder="1" applyAlignment="1">
      <alignment horizontal="center" vertical="center" shrinkToFit="1"/>
    </xf>
    <xf numFmtId="188" fontId="59" fillId="36" borderId="0" xfId="0" applyNumberFormat="1" applyFont="1" applyFill="1" applyAlignment="1">
      <alignment horizontal="center" vertical="center" shrinkToFit="1"/>
    </xf>
    <xf numFmtId="188" fontId="0" fillId="36" borderId="54" xfId="0" applyNumberFormat="1" applyFill="1" applyBorder="1" applyAlignment="1">
      <alignment horizontal="center" vertical="center" shrinkToFit="1"/>
    </xf>
    <xf numFmtId="188" fontId="0" fillId="36" borderId="55" xfId="0" applyNumberFormat="1" applyFill="1" applyBorder="1" applyAlignment="1">
      <alignment horizontal="center" vertical="center" shrinkToFit="1"/>
    </xf>
    <xf numFmtId="188" fontId="0" fillId="0" borderId="59" xfId="0" applyNumberFormat="1" applyFill="1" applyBorder="1" applyAlignment="1">
      <alignment horizontal="center" vertical="center" shrinkToFit="1"/>
    </xf>
    <xf numFmtId="188" fontId="0" fillId="0" borderId="60" xfId="0" applyNumberFormat="1" applyFill="1" applyBorder="1" applyAlignment="1">
      <alignment horizontal="center" vertical="center" shrinkToFit="1"/>
    </xf>
    <xf numFmtId="188" fontId="0" fillId="0" borderId="48" xfId="0" applyNumberFormat="1" applyFill="1" applyBorder="1" applyAlignment="1">
      <alignment horizontal="center" vertical="center" shrinkToFit="1"/>
    </xf>
    <xf numFmtId="188" fontId="0" fillId="0" borderId="49" xfId="0" applyNumberFormat="1" applyFill="1" applyBorder="1" applyAlignment="1">
      <alignment horizontal="center" vertical="center" shrinkToFit="1"/>
    </xf>
    <xf numFmtId="188" fontId="0" fillId="0" borderId="43" xfId="0" applyNumberFormat="1" applyFill="1" applyBorder="1" applyAlignment="1">
      <alignment horizontal="center" vertical="center" shrinkToFit="1"/>
    </xf>
    <xf numFmtId="188" fontId="0" fillId="0" borderId="35" xfId="0" applyNumberFormat="1" applyFill="1" applyBorder="1" applyAlignment="1">
      <alignment horizontal="center" vertical="center" shrinkToFit="1"/>
    </xf>
    <xf numFmtId="188" fontId="59" fillId="38" borderId="0" xfId="0" applyNumberFormat="1" applyFont="1" applyFill="1" applyAlignment="1">
      <alignment horizontal="center" vertical="center" shrinkToFit="1"/>
    </xf>
    <xf numFmtId="188" fontId="0" fillId="36" borderId="19" xfId="0" applyNumberFormat="1" applyFill="1" applyBorder="1" applyAlignment="1">
      <alignment horizontal="center" vertical="center" shrinkToFit="1"/>
    </xf>
    <xf numFmtId="188" fontId="0" fillId="0" borderId="22" xfId="0" applyNumberFormat="1" applyFill="1" applyBorder="1" applyAlignment="1">
      <alignment horizontal="center" vertical="center" shrinkToFit="1"/>
    </xf>
    <xf numFmtId="188" fontId="0" fillId="36" borderId="76" xfId="0" applyNumberFormat="1" applyFill="1" applyBorder="1" applyAlignment="1">
      <alignment horizontal="center" vertical="center" shrinkToFit="1"/>
    </xf>
    <xf numFmtId="188" fontId="0" fillId="36" borderId="67" xfId="0" applyNumberFormat="1" applyFill="1" applyBorder="1" applyAlignment="1">
      <alignment horizontal="center" vertical="center" shrinkToFit="1"/>
    </xf>
    <xf numFmtId="188" fontId="0" fillId="36" borderId="15" xfId="0" applyNumberFormat="1" applyFill="1" applyBorder="1" applyAlignment="1">
      <alignment horizontal="center" vertical="center" shrinkToFit="1"/>
    </xf>
    <xf numFmtId="188" fontId="0" fillId="36" borderId="62" xfId="0" applyNumberFormat="1" applyFill="1" applyBorder="1" applyAlignment="1">
      <alignment horizontal="center" vertical="center" shrinkToFit="1"/>
    </xf>
    <xf numFmtId="188" fontId="0" fillId="41" borderId="0" xfId="0" applyNumberFormat="1" applyFill="1" applyAlignment="1">
      <alignment horizontal="center" vertical="center" shrinkToFit="1"/>
    </xf>
    <xf numFmtId="188" fontId="0" fillId="36" borderId="22" xfId="0" applyNumberFormat="1" applyFill="1" applyBorder="1" applyAlignment="1">
      <alignment horizontal="center" vertical="center" shrinkToFit="1"/>
    </xf>
    <xf numFmtId="188" fontId="0" fillId="36" borderId="47" xfId="0" applyNumberFormat="1" applyFill="1" applyBorder="1" applyAlignment="1">
      <alignment horizontal="center" vertical="center" shrinkToFit="1"/>
    </xf>
    <xf numFmtId="188" fontId="0" fillId="36" borderId="63" xfId="0" applyNumberFormat="1" applyFill="1" applyBorder="1" applyAlignment="1">
      <alignment horizontal="center" vertical="center" shrinkToFit="1"/>
    </xf>
    <xf numFmtId="188" fontId="0" fillId="0" borderId="15" xfId="0" applyNumberFormat="1" applyFill="1" applyBorder="1" applyAlignment="1">
      <alignment horizontal="center" vertical="center" shrinkToFit="1"/>
    </xf>
    <xf numFmtId="188" fontId="0" fillId="0" borderId="17" xfId="0" applyNumberFormat="1" applyFill="1" applyBorder="1" applyAlignment="1">
      <alignment horizontal="center" vertical="center" shrinkToFit="1"/>
    </xf>
    <xf numFmtId="0" fontId="65" fillId="36" borderId="30" xfId="0" applyFont="1" applyFill="1" applyBorder="1" applyAlignment="1">
      <alignment horizontal="center"/>
    </xf>
    <xf numFmtId="0" fontId="65" fillId="36" borderId="0" xfId="0" applyFont="1" applyFill="1" applyBorder="1" applyAlignment="1">
      <alignment horizontal="center"/>
    </xf>
    <xf numFmtId="0" fontId="65" fillId="36" borderId="26" xfId="0" applyFont="1" applyFill="1" applyBorder="1" applyAlignment="1">
      <alignment horizontal="center"/>
    </xf>
    <xf numFmtId="193" fontId="59" fillId="36" borderId="30" xfId="0" applyNumberFormat="1" applyFont="1" applyFill="1" applyBorder="1" applyAlignment="1">
      <alignment horizontal="center" vertical="center"/>
    </xf>
    <xf numFmtId="193" fontId="59" fillId="36" borderId="0" xfId="0" applyNumberFormat="1" applyFont="1" applyFill="1" applyBorder="1" applyAlignment="1">
      <alignment horizontal="center" vertical="center"/>
    </xf>
    <xf numFmtId="193" fontId="59" fillId="36" borderId="26" xfId="0" applyNumberFormat="1" applyFont="1" applyFill="1" applyBorder="1" applyAlignment="1">
      <alignment horizontal="center" vertical="center"/>
    </xf>
    <xf numFmtId="0" fontId="60" fillId="36" borderId="0" xfId="0" applyFont="1" applyFill="1" applyAlignment="1">
      <alignment horizontal="center" vertical="center"/>
    </xf>
    <xf numFmtId="0" fontId="59" fillId="37" borderId="32" xfId="0" applyFont="1" applyFill="1" applyBorder="1" applyAlignment="1">
      <alignment horizontal="center" vertical="center" wrapText="1"/>
    </xf>
    <xf numFmtId="0" fontId="59" fillId="37" borderId="33" xfId="0" applyFont="1" applyFill="1" applyBorder="1" applyAlignment="1">
      <alignment horizontal="center" vertical="center" wrapText="1"/>
    </xf>
    <xf numFmtId="0" fontId="21" fillId="36" borderId="32" xfId="0" applyFont="1" applyFill="1" applyBorder="1" applyAlignment="1">
      <alignment horizontal="center" vertical="center" shrinkToFit="1"/>
    </xf>
    <xf numFmtId="0" fontId="21" fillId="36" borderId="33" xfId="0" applyFont="1" applyFill="1" applyBorder="1" applyAlignment="1">
      <alignment horizontal="center" vertical="center" shrinkToFit="1"/>
    </xf>
    <xf numFmtId="0" fontId="59" fillId="37" borderId="41" xfId="0" applyFont="1" applyFill="1" applyBorder="1" applyAlignment="1">
      <alignment horizontal="center" vertical="center"/>
    </xf>
    <xf numFmtId="0" fontId="21" fillId="36" borderId="41" xfId="0" applyFont="1" applyFill="1" applyBorder="1" applyAlignment="1">
      <alignment horizontal="center" vertical="center" shrinkToFit="1"/>
    </xf>
    <xf numFmtId="0" fontId="21" fillId="36" borderId="30" xfId="0" applyFont="1" applyFill="1" applyBorder="1" applyAlignment="1">
      <alignment horizontal="left" vertical="center" wrapText="1" indent="1"/>
    </xf>
    <xf numFmtId="0" fontId="21" fillId="36" borderId="0" xfId="0" applyFont="1" applyFill="1" applyBorder="1" applyAlignment="1">
      <alignment horizontal="left" vertical="center" wrapText="1" indent="1"/>
    </xf>
    <xf numFmtId="0" fontId="21" fillId="36" borderId="26" xfId="0" applyFont="1" applyFill="1" applyBorder="1" applyAlignment="1">
      <alignment horizontal="left" vertical="center" wrapText="1" indent="1"/>
    </xf>
    <xf numFmtId="0" fontId="58" fillId="36" borderId="42" xfId="0" applyFont="1" applyFill="1" applyBorder="1" applyAlignment="1">
      <alignment horizontal="center" vertical="center"/>
    </xf>
    <xf numFmtId="0" fontId="58" fillId="36" borderId="23" xfId="0" applyFont="1" applyFill="1" applyBorder="1" applyAlignment="1">
      <alignment horizontal="center" vertical="center"/>
    </xf>
    <xf numFmtId="0" fontId="58" fillId="36" borderId="24" xfId="0" applyFont="1" applyFill="1" applyBorder="1" applyAlignment="1">
      <alignment horizontal="center" vertical="center"/>
    </xf>
    <xf numFmtId="193" fontId="21" fillId="36" borderId="30" xfId="0" applyNumberFormat="1" applyFont="1" applyFill="1" applyBorder="1" applyAlignment="1">
      <alignment horizontal="center" vertical="center"/>
    </xf>
    <xf numFmtId="193" fontId="21" fillId="36" borderId="0" xfId="0" applyNumberFormat="1" applyFont="1" applyFill="1" applyBorder="1" applyAlignment="1">
      <alignment horizontal="center" vertical="center"/>
    </xf>
    <xf numFmtId="193" fontId="21" fillId="36" borderId="26" xfId="0" applyNumberFormat="1" applyFont="1" applyFill="1" applyBorder="1" applyAlignment="1">
      <alignment horizontal="center" vertical="center"/>
    </xf>
    <xf numFmtId="0" fontId="46" fillId="0" borderId="0" xfId="96" applyFont="1" applyAlignment="1">
      <alignment horizontal="center" vertical="center"/>
    </xf>
    <xf numFmtId="0" fontId="52" fillId="0" borderId="0" xfId="96" applyFont="1" applyBorder="1" applyAlignment="1">
      <alignment horizontal="center" vertical="center" wrapText="1" shrinkToFit="1"/>
    </xf>
    <xf numFmtId="0" fontId="52" fillId="0" borderId="0" xfId="96" applyFont="1" applyBorder="1" applyAlignment="1">
      <alignment horizontal="center" vertical="center" shrinkToFit="1"/>
    </xf>
    <xf numFmtId="0" fontId="21" fillId="36" borderId="30" xfId="0" applyFont="1" applyFill="1" applyBorder="1" applyAlignment="1">
      <alignment horizontal="left" vertical="top" wrapText="1" indent="1"/>
    </xf>
    <xf numFmtId="0" fontId="21" fillId="36" borderId="0" xfId="0" applyFont="1" applyFill="1" applyBorder="1" applyAlignment="1">
      <alignment horizontal="left" vertical="top" wrapText="1" indent="1"/>
    </xf>
    <xf numFmtId="0" fontId="21" fillId="36" borderId="26" xfId="0" applyFont="1" applyFill="1" applyBorder="1" applyAlignment="1">
      <alignment horizontal="left" vertical="top" wrapText="1" indent="1"/>
    </xf>
    <xf numFmtId="0" fontId="59" fillId="37" borderId="4" xfId="0" applyFont="1" applyFill="1" applyBorder="1" applyAlignment="1">
      <alignment horizontal="center" vertical="center"/>
    </xf>
    <xf numFmtId="0" fontId="59" fillId="37" borderId="25" xfId="0" applyFont="1" applyFill="1" applyBorder="1" applyAlignment="1">
      <alignment horizontal="center" vertical="center"/>
    </xf>
    <xf numFmtId="0" fontId="21" fillId="36" borderId="4" xfId="0" applyFont="1" applyFill="1" applyBorder="1" applyAlignment="1">
      <alignment horizontal="center" vertical="center" shrinkToFit="1"/>
    </xf>
    <xf numFmtId="0" fontId="21" fillId="36" borderId="25" xfId="0" applyFont="1" applyFill="1" applyBorder="1" applyAlignment="1">
      <alignment horizontal="center" vertical="center" shrinkToFit="1"/>
    </xf>
  </cellXfs>
  <cellStyles count="168">
    <cellStyle name="%" xfId="2"/>
    <cellStyle name="??&amp;O?&amp;H?_x0008__x000f__x0007_?_x0007__x0001__x0001_" xfId="3"/>
    <cellStyle name="??&amp;O?&amp;H?_x0008_??_x0007__x0001__x0001_" xfId="4"/>
    <cellStyle name="??_?.????" xfId="5"/>
    <cellStyle name="¹éºÐÀ²_±âÅ¸" xfId="6"/>
    <cellStyle name="20% - 강조색1" xfId="129" builtinId="30" customBuiltin="1"/>
    <cellStyle name="20% - 강조색2" xfId="133" builtinId="34" customBuiltin="1"/>
    <cellStyle name="20% - 강조색3" xfId="137" builtinId="38" customBuiltin="1"/>
    <cellStyle name="20% - 강조색4" xfId="141" builtinId="42" customBuiltin="1"/>
    <cellStyle name="20% - 강조색5" xfId="145" builtinId="46" customBuiltin="1"/>
    <cellStyle name="20% - 강조색6" xfId="149" builtinId="50" customBuiltin="1"/>
    <cellStyle name="40% - 강조색1" xfId="130" builtinId="31" customBuiltin="1"/>
    <cellStyle name="40% - 강조색2" xfId="134" builtinId="35" customBuiltin="1"/>
    <cellStyle name="40% - 강조색3" xfId="138" builtinId="39" customBuiltin="1"/>
    <cellStyle name="40% - 강조색4" xfId="142" builtinId="43" customBuiltin="1"/>
    <cellStyle name="40% - 강조색5" xfId="146" builtinId="47" customBuiltin="1"/>
    <cellStyle name="40% - 강조색6" xfId="150" builtinId="51" customBuiltin="1"/>
    <cellStyle name="60% - 강조색1" xfId="131" builtinId="32" customBuiltin="1"/>
    <cellStyle name="60% - 강조색2" xfId="135" builtinId="36" customBuiltin="1"/>
    <cellStyle name="60% - 강조색3" xfId="139" builtinId="40" customBuiltin="1"/>
    <cellStyle name="60% - 강조색4" xfId="143" builtinId="44" customBuiltin="1"/>
    <cellStyle name="60% - 강조색5" xfId="147" builtinId="48" customBuiltin="1"/>
    <cellStyle name="60% - 강조색6" xfId="151" builtinId="52" customBuiltin="1"/>
    <cellStyle name="ÅëÈ­ [0]_±³À°°èÈ¹¼­" xfId="7"/>
    <cellStyle name="ÅëÈ­_±³À°°èÈ¹¼­" xfId="8"/>
    <cellStyle name="ÄÞ¸¶ [0]_±³À°°èÈ¹¼­" xfId="9"/>
    <cellStyle name="ÄÞ¸¶_±³À°°èÈ¹¼­" xfId="10"/>
    <cellStyle name="Ç¥ÁØ_¿ù°£¿ä¾àº¸°í" xfId="11"/>
    <cellStyle name="Calc Currency (0)" xfId="12"/>
    <cellStyle name="Calc Currency (0) 2" xfId="13"/>
    <cellStyle name="Calc Currency (0) 3" xfId="14"/>
    <cellStyle name="Calc Currency (0) 4" xfId="157"/>
    <cellStyle name="Column Heading" xfId="15"/>
    <cellStyle name="Comma [0]_ SG&amp;A Bridge " xfId="16"/>
    <cellStyle name="comma zerodec" xfId="17"/>
    <cellStyle name="Comma_ SG&amp;A Bridge " xfId="18"/>
    <cellStyle name="Copied" xfId="19"/>
    <cellStyle name="Currency [0]_ SG&amp;A Bridge " xfId="20"/>
    <cellStyle name="Currency_ SG&amp;A Bridge " xfId="21"/>
    <cellStyle name="Currency1" xfId="22"/>
    <cellStyle name="DATE" xfId="23"/>
    <cellStyle name="Dollar (zero dec)" xfId="24"/>
    <cellStyle name="Entered" xfId="25"/>
    <cellStyle name="Grey" xfId="26"/>
    <cellStyle name="Header1" xfId="27"/>
    <cellStyle name="Header2" xfId="28"/>
    <cellStyle name="Header2 2" xfId="29"/>
    <cellStyle name="Header2 2 2" xfId="30"/>
    <cellStyle name="Header2 2 2 2" xfId="31"/>
    <cellStyle name="Header2 2 2 2 2" xfId="32"/>
    <cellStyle name="Header2 2 2 3" xfId="33"/>
    <cellStyle name="Header2 2 3" xfId="34"/>
    <cellStyle name="Header2 2 3 2" xfId="35"/>
    <cellStyle name="Header2 2 4" xfId="36"/>
    <cellStyle name="Header2 3" xfId="37"/>
    <cellStyle name="Header2 3 2" xfId="38"/>
    <cellStyle name="Header2 3 2 2" xfId="39"/>
    <cellStyle name="Header2 3 3" xfId="40"/>
    <cellStyle name="Header2 4" xfId="41"/>
    <cellStyle name="Header2 4 2" xfId="42"/>
    <cellStyle name="Header2 5" xfId="43"/>
    <cellStyle name="Header2 6" xfId="153"/>
    <cellStyle name="Input [yellow]" xfId="44"/>
    <cellStyle name="Input [yellow] 2" xfId="45"/>
    <cellStyle name="Input [yellow] 2 2" xfId="46"/>
    <cellStyle name="Milliers [0]_Arabian Spec" xfId="47"/>
    <cellStyle name="Milliers_Arabian Spec" xfId="48"/>
    <cellStyle name="Mon?aire [0]_Arabian Spec" xfId="49"/>
    <cellStyle name="Mon?aire_Arabian Spec" xfId="50"/>
    <cellStyle name="Normal - Style1" xfId="51"/>
    <cellStyle name="Normal - Style1 2" xfId="52"/>
    <cellStyle name="Normal - Style1 2 2" xfId="160"/>
    <cellStyle name="Normal - Style1 2 3" xfId="154"/>
    <cellStyle name="Normal - Style1 3" xfId="53"/>
    <cellStyle name="Normal - Style1 4" xfId="159"/>
    <cellStyle name="Normal_ SG&amp;A Bridge " xfId="54"/>
    <cellStyle name="Percent [2]" xfId="55"/>
    <cellStyle name="RevList" xfId="56"/>
    <cellStyle name="Subtotal" xfId="57"/>
    <cellStyle name="강조색1" xfId="128" builtinId="29" customBuiltin="1"/>
    <cellStyle name="강조색2" xfId="132" builtinId="33" customBuiltin="1"/>
    <cellStyle name="강조색3" xfId="136" builtinId="37" customBuiltin="1"/>
    <cellStyle name="강조색4" xfId="140" builtinId="41" customBuiltin="1"/>
    <cellStyle name="강조색5" xfId="144" builtinId="45" customBuiltin="1"/>
    <cellStyle name="강조색6" xfId="148" builtinId="49" customBuiltin="1"/>
    <cellStyle name="경고문" xfId="124" builtinId="11" customBuiltin="1"/>
    <cellStyle name="계산" xfId="121" builtinId="22" customBuiltin="1"/>
    <cellStyle name="고정소숫점" xfId="58"/>
    <cellStyle name="고정출력1" xfId="59"/>
    <cellStyle name="고정출력2" xfId="60"/>
    <cellStyle name="나쁨" xfId="117" builtinId="27" customBuiltin="1"/>
    <cellStyle name="날짜" xfId="61"/>
    <cellStyle name="달러" xfId="62"/>
    <cellStyle name="뒤에 오는 하이퍼링크_dimon" xfId="63"/>
    <cellStyle name="똿뗦먛귟 [0.00]_laroux" xfId="64"/>
    <cellStyle name="똿뗦먛귟_laroux" xfId="65"/>
    <cellStyle name="메모" xfId="125" builtinId="10" customBuiltin="1"/>
    <cellStyle name="믅됞 [0.00]_laroux" xfId="66"/>
    <cellStyle name="믅됞_laroux" xfId="67"/>
    <cellStyle name="백분율 2" xfId="69"/>
    <cellStyle name="백분율 3" xfId="68"/>
    <cellStyle name="보통" xfId="118" builtinId="28" customBuiltin="1"/>
    <cellStyle name="뷭?_빟랹둴봃섟 " xfId="70"/>
    <cellStyle name="설명 텍스트" xfId="126" builtinId="53" customBuiltin="1"/>
    <cellStyle name="셀 확인" xfId="123" builtinId="23" customBuiltin="1"/>
    <cellStyle name="숫자(R)" xfId="71"/>
    <cellStyle name="쉼표 [0] 2" xfId="73"/>
    <cellStyle name="쉼표 [0] 2 2" xfId="74"/>
    <cellStyle name="쉼표 [0] 2 3" xfId="75"/>
    <cellStyle name="쉼표 [0] 2 4" xfId="76"/>
    <cellStyle name="쉼표 [0] 2 5" xfId="161"/>
    <cellStyle name="쉼표 [0] 3" xfId="77"/>
    <cellStyle name="쉼표 [0] 3 2" xfId="78"/>
    <cellStyle name="쉼표 [0] 4" xfId="79"/>
    <cellStyle name="쉼표 [0] 4 2" xfId="80"/>
    <cellStyle name="쉼표 [0] 4 3" xfId="162"/>
    <cellStyle name="쉼표 [0] 4 4" xfId="166"/>
    <cellStyle name="쉼표 [0] 5" xfId="81"/>
    <cellStyle name="쉼표 [0] 6" xfId="82"/>
    <cellStyle name="쉼표 [0] 7" xfId="83"/>
    <cellStyle name="쉼표 [0] 8" xfId="72"/>
    <cellStyle name="연결된 셀" xfId="122" builtinId="24" customBuiltin="1"/>
    <cellStyle name="요약" xfId="127" builtinId="25" customBuiltin="1"/>
    <cellStyle name="입력" xfId="119" builtinId="20" customBuiltin="1"/>
    <cellStyle name="자리수" xfId="84"/>
    <cellStyle name="자리수0" xfId="85"/>
    <cellStyle name="제목" xfId="111" builtinId="15" customBuiltin="1"/>
    <cellStyle name="제목 1" xfId="112" builtinId="16" customBuiltin="1"/>
    <cellStyle name="제목 2" xfId="113" builtinId="17" customBuiltin="1"/>
    <cellStyle name="제목 3" xfId="114" builtinId="18" customBuiltin="1"/>
    <cellStyle name="제목 4" xfId="115" builtinId="19" customBuiltin="1"/>
    <cellStyle name="제목1" xfId="86"/>
    <cellStyle name="제목2" xfId="87"/>
    <cellStyle name="좋음" xfId="116" builtinId="26" customBuiltin="1"/>
    <cellStyle name="출력" xfId="120" builtinId="21" customBuiltin="1"/>
    <cellStyle name="콤마 [0]" xfId="88"/>
    <cellStyle name="콤마_  종  합  " xfId="89"/>
    <cellStyle name="표준" xfId="0" builtinId="0"/>
    <cellStyle name="표준 10" xfId="90"/>
    <cellStyle name="표준 11" xfId="91"/>
    <cellStyle name="표준 12" xfId="92"/>
    <cellStyle name="표준 13" xfId="93"/>
    <cellStyle name="표준 14" xfId="1"/>
    <cellStyle name="표준 2" xfId="94"/>
    <cellStyle name="표준 2 2" xfId="95"/>
    <cellStyle name="표준 2 3" xfId="96"/>
    <cellStyle name="표준 2 4" xfId="97"/>
    <cellStyle name="표준 2 4 2" xfId="98"/>
    <cellStyle name="표준 2 5" xfId="99"/>
    <cellStyle name="표준 2 6" xfId="155"/>
    <cellStyle name="표준 3" xfId="100"/>
    <cellStyle name="표준 3 2" xfId="101"/>
    <cellStyle name="표준 3 3" xfId="102"/>
    <cellStyle name="표준 3 4" xfId="163"/>
    <cellStyle name="표준 4" xfId="103"/>
    <cellStyle name="표준 4 2" xfId="104"/>
    <cellStyle name="표준 4 2 2" xfId="165"/>
    <cellStyle name="표준 4 2 3" xfId="156"/>
    <cellStyle name="표준 4 3" xfId="152"/>
    <cellStyle name="표준 5" xfId="105"/>
    <cellStyle name="표준 6" xfId="106"/>
    <cellStyle name="표준 7" xfId="107"/>
    <cellStyle name="표준 8" xfId="108"/>
    <cellStyle name="표준 9" xfId="109"/>
    <cellStyle name="標準_Akia(F）-8" xfId="110"/>
    <cellStyle name="하이퍼링크" xfId="167" builtinId="8"/>
    <cellStyle name="하이퍼링크 2" xfId="164"/>
    <cellStyle name="하이퍼링크 3" xfId="158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</xdr:row>
      <xdr:rowOff>114300</xdr:rowOff>
    </xdr:from>
    <xdr:to>
      <xdr:col>19</xdr:col>
      <xdr:colOff>66675</xdr:colOff>
      <xdr:row>2</xdr:row>
      <xdr:rowOff>247650</xdr:rowOff>
    </xdr:to>
    <xdr:sp macro="[0]!abExportAsPDF" textlink="">
      <xdr:nvSpPr>
        <xdr:cNvPr id="3" name="직사각형 2"/>
        <xdr:cNvSpPr/>
      </xdr:nvSpPr>
      <xdr:spPr>
        <a:xfrm>
          <a:off x="6943725" y="209550"/>
          <a:ext cx="1657350" cy="695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000"/>
            <a:t>PDF </a:t>
          </a:r>
          <a:r>
            <a:rPr lang="ko-KR" altLang="en-US" sz="1000"/>
            <a:t>다중페이지</a:t>
          </a:r>
          <a:endParaRPr lang="en-US" altLang="ko-KR" sz="1000"/>
        </a:p>
        <a:p>
          <a:pPr algn="ctr"/>
          <a:r>
            <a:rPr lang="ko-KR" altLang="en-US" sz="1000"/>
            <a:t>배포용 자료 생성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2"/>
  <sheetViews>
    <sheetView workbookViewId="0">
      <pane xSplit="1" topLeftCell="B1" activePane="topRight" state="frozen"/>
      <selection pane="topRight" activeCell="B10" sqref="B10"/>
    </sheetView>
  </sheetViews>
  <sheetFormatPr defaultRowHeight="16.5"/>
  <sheetData>
    <row r="1" spans="1:2">
      <c r="A1" t="s">
        <v>140</v>
      </c>
      <c r="B1" t="s">
        <v>141</v>
      </c>
    </row>
    <row r="2" spans="1:2">
      <c r="B2" s="121" t="s">
        <v>142</v>
      </c>
    </row>
  </sheetData>
  <phoneticPr fontId="2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B1:U34"/>
  <sheetViews>
    <sheetView showZeros="0" tabSelected="1" workbookViewId="0">
      <selection activeCell="F3" sqref="F3:F4"/>
    </sheetView>
  </sheetViews>
  <sheetFormatPr defaultColWidth="2.375" defaultRowHeight="0" customHeight="1" zeroHeight="1"/>
  <cols>
    <col min="1" max="1" width="1.25" style="18" customWidth="1"/>
    <col min="2" max="2" width="9.75" style="18" customWidth="1"/>
    <col min="3" max="3" width="31.375" style="18" bestFit="1" customWidth="1"/>
    <col min="4" max="4" width="20.875" style="18" customWidth="1"/>
    <col min="5" max="5" width="23.75" style="18" customWidth="1"/>
    <col min="6" max="6" width="1.25" style="18" customWidth="1"/>
    <col min="7" max="7" width="2.375" style="18" hidden="1" customWidth="1"/>
    <col min="8" max="8" width="16.5" style="24" hidden="1" customWidth="1"/>
    <col min="9" max="9" width="16" style="25" hidden="1" customWidth="1"/>
    <col min="10" max="10" width="6" style="18" hidden="1" customWidth="1"/>
    <col min="11" max="11" width="2.375" style="18" hidden="1" customWidth="1"/>
    <col min="12" max="12" width="9.5" style="18" hidden="1" customWidth="1"/>
    <col min="13" max="13" width="9.5" style="18" customWidth="1"/>
    <col min="14" max="16384" width="2.375" style="18"/>
  </cols>
  <sheetData>
    <row r="1" spans="2:21" ht="7.5" customHeight="1"/>
    <row r="2" spans="2:21" ht="44.25" customHeight="1">
      <c r="B2" s="157" t="str">
        <f ca="1">YEAR(TODAY())&amp;"년도 맞춤형 복지비 사용 안내"</f>
        <v>2016년도 맞춤형 복지비 사용 안내</v>
      </c>
      <c r="C2" s="158"/>
      <c r="D2" s="158"/>
      <c r="E2" s="159"/>
    </row>
    <row r="3" spans="2:21" ht="33" customHeight="1">
      <c r="B3" s="19" t="s">
        <v>25</v>
      </c>
      <c r="C3" s="20" t="s">
        <v>179</v>
      </c>
      <c r="D3" s="19" t="s">
        <v>145</v>
      </c>
      <c r="E3" s="21" t="str">
        <f>IF(ISERROR(VLOOKUP(C4,명단!B:AC,2,FALSE)),"",VLOOKUP(C4,명단!B:AC,2,FALSE))</f>
        <v>교 원</v>
      </c>
    </row>
    <row r="4" spans="2:21" ht="33" customHeight="1">
      <c r="B4" s="19" t="s">
        <v>26</v>
      </c>
      <c r="C4" s="20" t="str">
        <f>M4</f>
        <v>가길동</v>
      </c>
      <c r="D4" s="19" t="s">
        <v>27</v>
      </c>
      <c r="E4" s="54">
        <f>IF(ISERROR(VLOOKUP(C4,명단!B:AC,4,FALSE)),"",VLOOKUP(C4,명단!B:AC,4,FALSE))</f>
        <v>24838</v>
      </c>
      <c r="M4" s="168" t="s">
        <v>180</v>
      </c>
      <c r="N4" s="169"/>
      <c r="O4" s="169"/>
      <c r="P4" s="169"/>
      <c r="Q4" s="169"/>
      <c r="R4" s="169"/>
      <c r="S4" s="169"/>
      <c r="T4" s="169"/>
      <c r="U4" s="170"/>
    </row>
    <row r="5" spans="2:21" ht="33">
      <c r="B5" s="57"/>
      <c r="C5" s="56" t="s">
        <v>54</v>
      </c>
      <c r="D5" s="27" t="s">
        <v>33</v>
      </c>
      <c r="E5" s="28" t="str">
        <f>M5</f>
        <v>적용 기준
(기준일자: 2016. 1. 1)</v>
      </c>
      <c r="M5" s="168" t="s">
        <v>118</v>
      </c>
      <c r="N5" s="169"/>
      <c r="O5" s="169"/>
      <c r="P5" s="169"/>
      <c r="Q5" s="169"/>
      <c r="R5" s="169"/>
      <c r="S5" s="169"/>
      <c r="T5" s="169"/>
      <c r="U5" s="170"/>
    </row>
    <row r="6" spans="2:21" ht="30" customHeight="1">
      <c r="B6" s="171" t="s">
        <v>121</v>
      </c>
      <c r="C6" s="103" t="str">
        <f>IF(ISERROR("기본점수 "&amp;J6),"","기본점수 "&amp;J6)</f>
        <v>기본점수 (대상)</v>
      </c>
      <c r="D6" s="107">
        <f t="shared" ref="D6:D11" si="0">IF(ISERROR(I6),"",I6)</f>
        <v>500</v>
      </c>
      <c r="E6" s="31"/>
      <c r="H6" s="24" t="s">
        <v>29</v>
      </c>
      <c r="I6" s="25">
        <f>VLOOKUP($C$4,명단!B:AC,16,FALSE)</f>
        <v>500</v>
      </c>
      <c r="J6" s="18" t="str">
        <f>IF(I6&gt;0,"(대상)","")</f>
        <v>(대상)</v>
      </c>
      <c r="M6" s="117"/>
      <c r="N6" s="117"/>
      <c r="O6" s="117"/>
      <c r="P6" s="117"/>
      <c r="Q6" s="117"/>
      <c r="R6" s="117"/>
      <c r="S6" s="117"/>
      <c r="T6" s="117"/>
      <c r="U6" s="117"/>
    </row>
    <row r="7" spans="2:21" ht="30" customHeight="1">
      <c r="B7" s="172"/>
      <c r="C7" s="104" t="str">
        <f>IF(ISERROR("+ 근속점수 "&amp;J7),"","+ 근속점수 "&amp;J7)</f>
        <v>+ 근속점수 (대상)</v>
      </c>
      <c r="D7" s="108">
        <f t="shared" si="0"/>
        <v>250</v>
      </c>
      <c r="E7" s="102" t="s">
        <v>35</v>
      </c>
      <c r="H7" s="24" t="s">
        <v>30</v>
      </c>
      <c r="I7" s="25">
        <f>VLOOKUP($C$4,명단!B:AC,17,FALSE)</f>
        <v>250</v>
      </c>
      <c r="J7" s="18" t="str">
        <f t="shared" ref="J7:J8" si="1">IF(I7&gt;0,"(대상)","")</f>
        <v>(대상)</v>
      </c>
      <c r="M7" s="117"/>
      <c r="N7" s="117"/>
      <c r="O7" s="117"/>
      <c r="P7" s="117"/>
      <c r="Q7" s="117"/>
      <c r="R7" s="117"/>
      <c r="S7" s="117"/>
      <c r="T7" s="117"/>
      <c r="U7" s="117"/>
    </row>
    <row r="8" spans="2:21" ht="30" customHeight="1">
      <c r="B8" s="172"/>
      <c r="C8" s="113" t="str">
        <f>IF(ISERROR("+ 가족점수 "&amp;J8),"","+ 가족점수 "&amp;J8)</f>
        <v>+ 가족점수 (대상)</v>
      </c>
      <c r="D8" s="148">
        <f t="shared" si="0"/>
        <v>400</v>
      </c>
      <c r="E8" s="149" t="s">
        <v>37</v>
      </c>
      <c r="H8" s="24" t="s">
        <v>31</v>
      </c>
      <c r="I8" s="25">
        <f>VLOOKUP($C$4,명단!B:AC,18,FALSE)</f>
        <v>400</v>
      </c>
      <c r="J8" s="18" t="str">
        <f t="shared" si="1"/>
        <v>(대상)</v>
      </c>
      <c r="M8" s="117"/>
      <c r="N8" s="117"/>
      <c r="O8" s="117"/>
      <c r="P8" s="117"/>
      <c r="Q8" s="117"/>
      <c r="R8" s="117"/>
      <c r="S8" s="117"/>
      <c r="T8" s="117"/>
      <c r="U8" s="117"/>
    </row>
    <row r="9" spans="2:21" ht="30" customHeight="1">
      <c r="B9" s="118">
        <f>IF(ISERROR((D6+D7+D8-D9)*1000),"",(D6+D7+D8-D9)*1000)</f>
        <v>856760</v>
      </c>
      <c r="C9" s="113" t="str">
        <f>IF(ISERROR("- 단체보험료 "&amp;J9),"","- 단체보험료 "&amp;J9)</f>
        <v>- 단체보험료 (대상)</v>
      </c>
      <c r="D9" s="146">
        <f t="shared" si="0"/>
        <v>293.24</v>
      </c>
      <c r="E9" s="147" t="str">
        <f>IF(ISERROR(VLOOKUP($C$4,명단!B:AC,13,FALSE)&amp;", "&amp;VLOOKUP($C$4,명단!B:AC,14,FALSE)),"",VLOOKUP($C$4,명단!B:AC,13,FALSE)&amp;", "&amp;VLOOKUP($C$4,명단!B:AC,14,FALSE))</f>
        <v>1억, 실손보험 면제</v>
      </c>
      <c r="H9" s="24" t="s">
        <v>73</v>
      </c>
      <c r="I9" s="25">
        <f>VLOOKUP($C$4,명단!B:AC,21,FALSE)</f>
        <v>293.24</v>
      </c>
      <c r="J9" s="18" t="str">
        <f t="shared" ref="J9" si="2">IF(I9&gt;0,"(대상)","")</f>
        <v>(대상)</v>
      </c>
      <c r="M9" s="117"/>
      <c r="N9" s="117"/>
      <c r="O9" s="117"/>
      <c r="P9" s="117"/>
      <c r="Q9" s="117"/>
      <c r="R9" s="117"/>
      <c r="S9" s="117"/>
      <c r="T9" s="117"/>
      <c r="U9" s="117"/>
    </row>
    <row r="10" spans="2:21" ht="30" customHeight="1">
      <c r="B10" s="171" t="s">
        <v>132</v>
      </c>
      <c r="C10" s="114" t="str">
        <f>IF(ISERROR("▷ 출산축하 복지점수 "&amp;L10),"","▷ 출산축하 복지점수 "&amp;L10)</f>
        <v>▷ 출산축하 복지점수 (비대상)</v>
      </c>
      <c r="D10" s="109" t="str">
        <f t="shared" si="0"/>
        <v/>
      </c>
      <c r="E10" s="99" t="s">
        <v>67</v>
      </c>
      <c r="H10" s="24" t="s">
        <v>34</v>
      </c>
      <c r="I10" s="25" t="str">
        <f>IF(J10="대상","3,000,000원","")</f>
        <v/>
      </c>
      <c r="J10" s="18">
        <f>VLOOKUP(C4,명단!B:AC,12,FALSE)</f>
        <v>0</v>
      </c>
      <c r="L10" s="18" t="str">
        <f>IF(J10="대상","(대상)","(비대상)")</f>
        <v>(비대상)</v>
      </c>
      <c r="M10" s="117"/>
      <c r="N10" s="117"/>
      <c r="O10" s="117"/>
      <c r="P10" s="117"/>
      <c r="Q10" s="117"/>
      <c r="R10" s="117"/>
      <c r="S10" s="117"/>
      <c r="T10" s="117"/>
      <c r="U10" s="117"/>
    </row>
    <row r="11" spans="2:21" ht="30" customHeight="1">
      <c r="B11" s="173"/>
      <c r="C11" s="115" t="str">
        <f>IF(ISERROR("▷ 특별건강검진비 "&amp;L11),"","▷ 특별건강검진비 "&amp;L11)</f>
        <v>▷ 특별건강검진비 (대상)</v>
      </c>
      <c r="D11" s="110" t="str">
        <f t="shared" si="0"/>
        <v>200,000원</v>
      </c>
      <c r="E11" s="100" t="str">
        <f>M11</f>
        <v>1976년 12월 31일 이전 출생자 
중 짝수연도 출생자</v>
      </c>
      <c r="H11" s="24" t="s">
        <v>32</v>
      </c>
      <c r="I11" s="26" t="str">
        <f>IF(J11="대상","200,000원","")</f>
        <v>200,000원</v>
      </c>
      <c r="J11" s="22" t="str">
        <f>VLOOKUP(C4,명단!B:AC,15,FALSE)</f>
        <v>대상</v>
      </c>
      <c r="L11" s="18" t="str">
        <f>IF(J11="대상","(대상)","(비대상)")</f>
        <v>(대상)</v>
      </c>
      <c r="M11" s="168" t="s">
        <v>120</v>
      </c>
      <c r="N11" s="169"/>
      <c r="O11" s="169"/>
      <c r="P11" s="169"/>
      <c r="Q11" s="169"/>
      <c r="R11" s="169"/>
      <c r="S11" s="169"/>
      <c r="T11" s="169"/>
      <c r="U11" s="170"/>
    </row>
    <row r="12" spans="2:21" ht="30" customHeight="1">
      <c r="B12" s="172" t="s">
        <v>122</v>
      </c>
      <c r="C12" s="105" t="s">
        <v>128</v>
      </c>
      <c r="D12" s="111">
        <f>IF(ISERROR(H12),"",H12)</f>
        <v>85000</v>
      </c>
      <c r="E12" s="99" t="s">
        <v>36</v>
      </c>
      <c r="H12" s="26">
        <f>VLOOKUP(C4,명단!B:AC,24,FALSE)</f>
        <v>85000</v>
      </c>
      <c r="I12" s="26"/>
      <c r="J12" s="22"/>
    </row>
    <row r="13" spans="2:21" ht="30" customHeight="1" thickBot="1">
      <c r="B13" s="174"/>
      <c r="C13" s="106" t="s">
        <v>53</v>
      </c>
      <c r="D13" s="112">
        <f>IF(ISERROR(I13),"",I13)</f>
        <v>776010</v>
      </c>
      <c r="E13" s="101" t="s">
        <v>52</v>
      </c>
      <c r="I13" s="26">
        <f>VLOOKUP($C$4,명단!B:AC,28,FALSE)</f>
        <v>776010</v>
      </c>
      <c r="J13" s="18" t="str">
        <f>IF(I13="대상","(대상)","")</f>
        <v/>
      </c>
    </row>
    <row r="14" spans="2:21" ht="9" customHeight="1">
      <c r="B14" s="55"/>
      <c r="C14" s="29"/>
      <c r="D14" s="29"/>
      <c r="E14" s="30"/>
    </row>
    <row r="15" spans="2:21" ht="23.25" customHeight="1">
      <c r="B15" s="161" t="s">
        <v>181</v>
      </c>
      <c r="C15" s="162"/>
      <c r="D15" s="162"/>
      <c r="E15" s="163"/>
      <c r="H15" s="24" t="s">
        <v>136</v>
      </c>
      <c r="I15" s="25">
        <v>3</v>
      </c>
      <c r="M15" s="175" t="s">
        <v>129</v>
      </c>
      <c r="N15" s="176"/>
      <c r="O15" s="176"/>
      <c r="P15" s="176"/>
      <c r="Q15" s="176"/>
      <c r="R15" s="176"/>
      <c r="S15" s="176"/>
      <c r="T15" s="176"/>
      <c r="U15" s="177"/>
    </row>
    <row r="16" spans="2:21" ht="23.25" customHeight="1">
      <c r="B16" s="164"/>
      <c r="C16" s="162"/>
      <c r="D16" s="162"/>
      <c r="E16" s="163"/>
      <c r="I16" s="25" t="str">
        <f>IF(J11="대상","6","3")</f>
        <v>6</v>
      </c>
      <c r="M16" s="178"/>
      <c r="N16" s="179"/>
      <c r="O16" s="179"/>
      <c r="P16" s="179"/>
      <c r="Q16" s="179"/>
      <c r="R16" s="179"/>
      <c r="S16" s="179"/>
      <c r="T16" s="179"/>
      <c r="U16" s="180"/>
    </row>
    <row r="17" spans="2:21" ht="23.25" customHeight="1">
      <c r="B17" s="164"/>
      <c r="C17" s="162"/>
      <c r="D17" s="162"/>
      <c r="E17" s="163"/>
      <c r="I17" s="25" t="str">
        <f>IF(J11="대상","7","3")</f>
        <v>7</v>
      </c>
      <c r="M17" s="178"/>
      <c r="N17" s="179"/>
      <c r="O17" s="179"/>
      <c r="P17" s="179"/>
      <c r="Q17" s="179"/>
      <c r="R17" s="179"/>
      <c r="S17" s="179"/>
      <c r="T17" s="179"/>
      <c r="U17" s="180"/>
    </row>
    <row r="18" spans="2:21" ht="23.25" customHeight="1">
      <c r="B18" s="164"/>
      <c r="C18" s="162"/>
      <c r="D18" s="162"/>
      <c r="E18" s="163"/>
      <c r="H18" s="18"/>
      <c r="I18" s="18" t="str">
        <f>IF(J10="대상","8","3")</f>
        <v>3</v>
      </c>
      <c r="M18" s="178"/>
      <c r="N18" s="179"/>
      <c r="O18" s="179"/>
      <c r="P18" s="179"/>
      <c r="Q18" s="179"/>
      <c r="R18" s="179"/>
      <c r="S18" s="179"/>
      <c r="T18" s="179"/>
      <c r="U18" s="180"/>
    </row>
    <row r="19" spans="2:21" ht="23.25" customHeight="1">
      <c r="B19" s="164"/>
      <c r="C19" s="162"/>
      <c r="D19" s="162"/>
      <c r="E19" s="163"/>
      <c r="H19" s="18"/>
      <c r="I19" s="18"/>
      <c r="M19" s="178"/>
      <c r="N19" s="179"/>
      <c r="O19" s="179"/>
      <c r="P19" s="179"/>
      <c r="Q19" s="179"/>
      <c r="R19" s="179"/>
      <c r="S19" s="179"/>
      <c r="T19" s="179"/>
      <c r="U19" s="180"/>
    </row>
    <row r="20" spans="2:21" ht="23.25" customHeight="1">
      <c r="B20" s="164"/>
      <c r="C20" s="162"/>
      <c r="D20" s="162"/>
      <c r="E20" s="163"/>
      <c r="H20" s="18"/>
      <c r="I20" s="18"/>
      <c r="M20" s="178"/>
      <c r="N20" s="179"/>
      <c r="O20" s="179"/>
      <c r="P20" s="179"/>
      <c r="Q20" s="179"/>
      <c r="R20" s="179"/>
      <c r="S20" s="179"/>
      <c r="T20" s="179"/>
      <c r="U20" s="180"/>
    </row>
    <row r="21" spans="2:21" ht="23.25" customHeight="1">
      <c r="B21" s="164"/>
      <c r="C21" s="162"/>
      <c r="D21" s="162"/>
      <c r="E21" s="163"/>
      <c r="H21" s="18"/>
      <c r="I21" s="18"/>
      <c r="M21" s="178"/>
      <c r="N21" s="179"/>
      <c r="O21" s="179"/>
      <c r="P21" s="179"/>
      <c r="Q21" s="179"/>
      <c r="R21" s="179"/>
      <c r="S21" s="179"/>
      <c r="T21" s="179"/>
      <c r="U21" s="180"/>
    </row>
    <row r="22" spans="2:21" ht="23.25" customHeight="1">
      <c r="B22" s="164"/>
      <c r="C22" s="162"/>
      <c r="D22" s="162"/>
      <c r="E22" s="163"/>
      <c r="H22" s="18"/>
      <c r="I22" s="18"/>
      <c r="M22" s="178"/>
      <c r="N22" s="179"/>
      <c r="O22" s="179"/>
      <c r="P22" s="179"/>
      <c r="Q22" s="179"/>
      <c r="R22" s="179"/>
      <c r="S22" s="179"/>
      <c r="T22" s="179"/>
      <c r="U22" s="180"/>
    </row>
    <row r="23" spans="2:21" ht="23.25" customHeight="1">
      <c r="B23" s="164"/>
      <c r="C23" s="162"/>
      <c r="D23" s="162"/>
      <c r="E23" s="163"/>
      <c r="H23" s="18"/>
      <c r="I23" s="18"/>
      <c r="M23" s="178"/>
      <c r="N23" s="179"/>
      <c r="O23" s="179"/>
      <c r="P23" s="179"/>
      <c r="Q23" s="179"/>
      <c r="R23" s="179"/>
      <c r="S23" s="179"/>
      <c r="T23" s="179"/>
      <c r="U23" s="180"/>
    </row>
    <row r="24" spans="2:21" ht="23.25" customHeight="1">
      <c r="B24" s="164"/>
      <c r="C24" s="162"/>
      <c r="D24" s="162"/>
      <c r="E24" s="163"/>
      <c r="H24" s="18"/>
      <c r="I24" s="18"/>
      <c r="M24" s="178"/>
      <c r="N24" s="179"/>
      <c r="O24" s="179"/>
      <c r="P24" s="179"/>
      <c r="Q24" s="179"/>
      <c r="R24" s="179"/>
      <c r="S24" s="179"/>
      <c r="T24" s="179"/>
      <c r="U24" s="180"/>
    </row>
    <row r="25" spans="2:21" ht="23.25" customHeight="1">
      <c r="B25" s="164"/>
      <c r="C25" s="162"/>
      <c r="D25" s="162"/>
      <c r="E25" s="163"/>
      <c r="H25" s="18"/>
      <c r="I25" s="18"/>
      <c r="M25" s="178"/>
      <c r="N25" s="179"/>
      <c r="O25" s="179"/>
      <c r="P25" s="179"/>
      <c r="Q25" s="179"/>
      <c r="R25" s="179"/>
      <c r="S25" s="179"/>
      <c r="T25" s="179"/>
      <c r="U25" s="180"/>
    </row>
    <row r="26" spans="2:21" ht="23.25" customHeight="1">
      <c r="B26" s="164"/>
      <c r="C26" s="162"/>
      <c r="D26" s="162"/>
      <c r="E26" s="163"/>
      <c r="H26" s="18"/>
      <c r="I26" s="18"/>
      <c r="M26" s="178"/>
      <c r="N26" s="179"/>
      <c r="O26" s="179"/>
      <c r="P26" s="179"/>
      <c r="Q26" s="179"/>
      <c r="R26" s="179"/>
      <c r="S26" s="179"/>
      <c r="T26" s="179"/>
      <c r="U26" s="180"/>
    </row>
    <row r="27" spans="2:21" ht="23.25" customHeight="1">
      <c r="B27" s="164"/>
      <c r="C27" s="162"/>
      <c r="D27" s="162"/>
      <c r="E27" s="163"/>
      <c r="H27" s="18"/>
      <c r="I27" s="18"/>
      <c r="M27" s="178"/>
      <c r="N27" s="179"/>
      <c r="O27" s="179"/>
      <c r="P27" s="179"/>
      <c r="Q27" s="179"/>
      <c r="R27" s="179"/>
      <c r="S27" s="179"/>
      <c r="T27" s="179"/>
      <c r="U27" s="180"/>
    </row>
    <row r="28" spans="2:21" ht="23.25" customHeight="1" thickBot="1">
      <c r="B28" s="165"/>
      <c r="C28" s="166"/>
      <c r="D28" s="166"/>
      <c r="E28" s="167"/>
      <c r="H28" s="18"/>
      <c r="I28" s="18"/>
      <c r="M28" s="181"/>
      <c r="N28" s="182"/>
      <c r="O28" s="182"/>
      <c r="P28" s="182"/>
      <c r="Q28" s="182"/>
      <c r="R28" s="182"/>
      <c r="S28" s="182"/>
      <c r="T28" s="182"/>
      <c r="U28" s="183"/>
    </row>
    <row r="29" spans="2:21" ht="7.5" customHeight="1">
      <c r="B29" s="160"/>
      <c r="C29" s="160"/>
      <c r="D29" s="160"/>
      <c r="E29" s="160"/>
      <c r="H29" s="18"/>
      <c r="I29" s="18"/>
    </row>
    <row r="30" spans="2:21" ht="15.75" hidden="1" customHeight="1">
      <c r="B30" s="160"/>
      <c r="C30" s="160"/>
      <c r="D30" s="160"/>
      <c r="E30" s="160"/>
      <c r="H30" s="18"/>
      <c r="I30" s="18"/>
    </row>
    <row r="31" spans="2:21" ht="0" hidden="1" customHeight="1"/>
    <row r="32" spans="2:21" ht="0" hidden="1" customHeight="1"/>
    <row r="33" spans="8:9" ht="0" hidden="1" customHeight="1"/>
    <row r="34" spans="8:9" ht="0" hidden="1" customHeight="1">
      <c r="H34" s="18"/>
      <c r="I34" s="18"/>
    </row>
  </sheetData>
  <sheetProtection selectLockedCells="1"/>
  <mergeCells count="10">
    <mergeCell ref="B2:E2"/>
    <mergeCell ref="B29:E30"/>
    <mergeCell ref="B15:E28"/>
    <mergeCell ref="M4:U4"/>
    <mergeCell ref="M5:U5"/>
    <mergeCell ref="M11:U11"/>
    <mergeCell ref="B6:B8"/>
    <mergeCell ref="B10:B11"/>
    <mergeCell ref="B12:B13"/>
    <mergeCell ref="M15:U28"/>
  </mergeCells>
  <phoneticPr fontId="23" type="noConversion"/>
  <conditionalFormatting sqref="B6">
    <cfRule type="containsText" dxfId="13" priority="6" operator="containsText" text="(대상)">
      <formula>NOT(ISERROR(SEARCH("(대상)",B6)))</formula>
    </cfRule>
  </conditionalFormatting>
  <conditionalFormatting sqref="C6:C8 C10:C13">
    <cfRule type="containsText" dxfId="12" priority="3" operator="containsText" text="(대상)">
      <formula>NOT(ISERROR(SEARCH("(대상)",C6)))</formula>
    </cfRule>
  </conditionalFormatting>
  <conditionalFormatting sqref="C9">
    <cfRule type="containsText" dxfId="11" priority="1" operator="containsText" text="(대상)">
      <formula>NOT(ISERROR(SEARCH("(대상)",C9)))</formula>
    </cfRule>
  </conditionalFormatting>
  <printOptions horizontalCentered="1"/>
  <pageMargins left="0.19685039370078741" right="0.19685039370078741" top="1.3385826771653544" bottom="0.19685039370078741" header="3.937007874015748E-2" footer="0"/>
  <pageSetup paperSize="9" scale="99" orientation="portrait" r:id="rId1"/>
  <headerFooter>
    <oddHeader>&amp;R&amp;G</oddHeader>
  </headerFooter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E34"/>
  <sheetViews>
    <sheetView showZeros="0" workbookViewId="0">
      <selection activeCell="C3" sqref="C3:E13"/>
    </sheetView>
  </sheetViews>
  <sheetFormatPr defaultColWidth="2.375" defaultRowHeight="0" customHeight="1" zeroHeight="1"/>
  <cols>
    <col min="1" max="1" width="1.25" style="18" customWidth="1"/>
    <col min="2" max="2" width="9.75" style="18" customWidth="1"/>
    <col min="3" max="3" width="31.375" style="18" bestFit="1" customWidth="1"/>
    <col min="4" max="4" width="20.875" style="18" customWidth="1"/>
    <col min="5" max="5" width="23.75" style="18" customWidth="1"/>
    <col min="6" max="6" width="1.25" style="18" customWidth="1"/>
    <col min="7" max="16384" width="2.375" style="18"/>
  </cols>
  <sheetData>
    <row r="1" spans="2:5" ht="7.5" customHeight="1"/>
    <row r="2" spans="2:5" ht="44.25" customHeight="1">
      <c r="B2" s="186" t="s">
        <v>130</v>
      </c>
      <c r="C2" s="187"/>
      <c r="D2" s="187"/>
      <c r="E2" s="188"/>
    </row>
    <row r="3" spans="2:5" ht="33" customHeight="1">
      <c r="B3" s="19" t="s">
        <v>25</v>
      </c>
      <c r="C3" s="20" t="s">
        <v>178</v>
      </c>
      <c r="D3" s="19" t="s">
        <v>144</v>
      </c>
      <c r="E3" s="21" t="s">
        <v>28</v>
      </c>
    </row>
    <row r="4" spans="2:5" ht="33" customHeight="1">
      <c r="B4" s="19" t="s">
        <v>26</v>
      </c>
      <c r="C4" s="20" t="s">
        <v>163</v>
      </c>
      <c r="D4" s="19" t="s">
        <v>55</v>
      </c>
      <c r="E4" s="54">
        <v>24838</v>
      </c>
    </row>
    <row r="5" spans="2:5" ht="33" customHeight="1">
      <c r="B5" s="57"/>
      <c r="C5" s="56" t="s">
        <v>56</v>
      </c>
      <c r="D5" s="27" t="s">
        <v>57</v>
      </c>
      <c r="E5" s="28" t="s">
        <v>117</v>
      </c>
    </row>
    <row r="6" spans="2:5" ht="30" customHeight="1">
      <c r="B6" s="171" t="s">
        <v>121</v>
      </c>
      <c r="C6" s="103" t="s">
        <v>58</v>
      </c>
      <c r="D6" s="107">
        <v>500</v>
      </c>
      <c r="E6" s="31"/>
    </row>
    <row r="7" spans="2:5" ht="30" customHeight="1">
      <c r="B7" s="172"/>
      <c r="C7" s="104" t="s">
        <v>59</v>
      </c>
      <c r="D7" s="108">
        <v>250</v>
      </c>
      <c r="E7" s="102" t="s">
        <v>60</v>
      </c>
    </row>
    <row r="8" spans="2:5" ht="30" customHeight="1">
      <c r="B8" s="172"/>
      <c r="C8" s="113" t="s">
        <v>182</v>
      </c>
      <c r="D8" s="148">
        <v>400</v>
      </c>
      <c r="E8" s="149" t="s">
        <v>61</v>
      </c>
    </row>
    <row r="9" spans="2:5" ht="30" customHeight="1">
      <c r="B9" s="118">
        <f>(D6+D7+D8-D9)*1000</f>
        <v>856760</v>
      </c>
      <c r="C9" s="113" t="s">
        <v>131</v>
      </c>
      <c r="D9" s="146">
        <v>293.24</v>
      </c>
      <c r="E9" s="147" t="s">
        <v>183</v>
      </c>
    </row>
    <row r="10" spans="2:5" ht="30" customHeight="1">
      <c r="B10" s="171" t="s">
        <v>132</v>
      </c>
      <c r="C10" s="114" t="s">
        <v>62</v>
      </c>
      <c r="D10" s="109" t="s">
        <v>63</v>
      </c>
      <c r="E10" s="99" t="s">
        <v>71</v>
      </c>
    </row>
    <row r="11" spans="2:5" ht="30" customHeight="1">
      <c r="B11" s="173"/>
      <c r="C11" s="115" t="s">
        <v>184</v>
      </c>
      <c r="D11" s="110" t="s">
        <v>185</v>
      </c>
      <c r="E11" s="100" t="s">
        <v>119</v>
      </c>
    </row>
    <row r="12" spans="2:5" ht="30" customHeight="1">
      <c r="B12" s="171" t="s">
        <v>24</v>
      </c>
      <c r="C12" s="105" t="s">
        <v>127</v>
      </c>
      <c r="D12" s="111">
        <v>85000</v>
      </c>
      <c r="E12" s="99" t="s">
        <v>64</v>
      </c>
    </row>
    <row r="13" spans="2:5" ht="30" customHeight="1" thickBot="1">
      <c r="B13" s="184"/>
      <c r="C13" s="106" t="s">
        <v>65</v>
      </c>
      <c r="D13" s="112">
        <v>776010</v>
      </c>
      <c r="E13" s="101" t="s">
        <v>66</v>
      </c>
    </row>
    <row r="14" spans="2:5" ht="9" customHeight="1">
      <c r="B14" s="55"/>
      <c r="C14" s="29"/>
      <c r="D14" s="29"/>
      <c r="E14" s="30"/>
    </row>
    <row r="15" spans="2:5" ht="23.25" customHeight="1">
      <c r="B15" s="161" t="s">
        <v>160</v>
      </c>
      <c r="C15" s="162"/>
      <c r="D15" s="162"/>
      <c r="E15" s="163"/>
    </row>
    <row r="16" spans="2:5" ht="23.25" customHeight="1">
      <c r="B16" s="164"/>
      <c r="C16" s="162"/>
      <c r="D16" s="162"/>
      <c r="E16" s="163"/>
    </row>
    <row r="17" spans="2:5" ht="23.25" customHeight="1">
      <c r="B17" s="164"/>
      <c r="C17" s="162"/>
      <c r="D17" s="162"/>
      <c r="E17" s="163"/>
    </row>
    <row r="18" spans="2:5" ht="23.25" customHeight="1">
      <c r="B18" s="164"/>
      <c r="C18" s="162"/>
      <c r="D18" s="162"/>
      <c r="E18" s="163"/>
    </row>
    <row r="19" spans="2:5" ht="23.25" customHeight="1">
      <c r="B19" s="164"/>
      <c r="C19" s="162"/>
      <c r="D19" s="162"/>
      <c r="E19" s="163"/>
    </row>
    <row r="20" spans="2:5" ht="23.25" customHeight="1">
      <c r="B20" s="164"/>
      <c r="C20" s="162"/>
      <c r="D20" s="162"/>
      <c r="E20" s="163"/>
    </row>
    <row r="21" spans="2:5" ht="23.25" customHeight="1">
      <c r="B21" s="164"/>
      <c r="C21" s="162"/>
      <c r="D21" s="162"/>
      <c r="E21" s="163"/>
    </row>
    <row r="22" spans="2:5" ht="23.25" customHeight="1">
      <c r="B22" s="164"/>
      <c r="C22" s="162"/>
      <c r="D22" s="162"/>
      <c r="E22" s="163"/>
    </row>
    <row r="23" spans="2:5" ht="23.25" customHeight="1">
      <c r="B23" s="164"/>
      <c r="C23" s="162"/>
      <c r="D23" s="162"/>
      <c r="E23" s="163"/>
    </row>
    <row r="24" spans="2:5" ht="23.25" customHeight="1">
      <c r="B24" s="164"/>
      <c r="C24" s="162"/>
      <c r="D24" s="162"/>
      <c r="E24" s="163"/>
    </row>
    <row r="25" spans="2:5" ht="23.25" customHeight="1">
      <c r="B25" s="164"/>
      <c r="C25" s="162"/>
      <c r="D25" s="162"/>
      <c r="E25" s="163"/>
    </row>
    <row r="26" spans="2:5" ht="23.25" customHeight="1">
      <c r="B26" s="164"/>
      <c r="C26" s="162"/>
      <c r="D26" s="162"/>
      <c r="E26" s="163"/>
    </row>
    <row r="27" spans="2:5" ht="23.25" customHeight="1">
      <c r="B27" s="164"/>
      <c r="C27" s="162"/>
      <c r="D27" s="162"/>
      <c r="E27" s="163"/>
    </row>
    <row r="28" spans="2:5" ht="23.25" customHeight="1" thickBot="1">
      <c r="B28" s="165"/>
      <c r="C28" s="166"/>
      <c r="D28" s="166"/>
      <c r="E28" s="167"/>
    </row>
    <row r="29" spans="2:5" ht="7.5" customHeight="1">
      <c r="B29" s="185"/>
      <c r="C29" s="185"/>
      <c r="D29" s="185"/>
      <c r="E29" s="185"/>
    </row>
    <row r="30" spans="2:5" ht="15.75" hidden="1" customHeight="1">
      <c r="B30" s="160"/>
      <c r="C30" s="160"/>
      <c r="D30" s="160"/>
      <c r="E30" s="160"/>
    </row>
    <row r="31" spans="2:5" ht="0" hidden="1" customHeight="1"/>
    <row r="32" spans="2:5" ht="0" hidden="1" customHeight="1"/>
    <row r="33" ht="0" hidden="1" customHeight="1"/>
    <row r="34" ht="0" hidden="1" customHeight="1"/>
  </sheetData>
  <sheetProtection selectLockedCells="1"/>
  <mergeCells count="6">
    <mergeCell ref="B12:B13"/>
    <mergeCell ref="B15:E28"/>
    <mergeCell ref="B29:E30"/>
    <mergeCell ref="B6:B8"/>
    <mergeCell ref="B2:E2"/>
    <mergeCell ref="B10:B11"/>
  </mergeCells>
  <phoneticPr fontId="23" type="noConversion"/>
  <conditionalFormatting sqref="C6:C8 C10:C13">
    <cfRule type="containsText" dxfId="10" priority="3" operator="containsText" text="(대상)">
      <formula>NOT(ISERROR(SEARCH("(대상)",C6)))</formula>
    </cfRule>
  </conditionalFormatting>
  <conditionalFormatting sqref="C9">
    <cfRule type="containsText" dxfId="9" priority="2" operator="containsText" text="(대상)">
      <formula>NOT(ISERROR(SEARCH("(대상)",C9)))</formula>
    </cfRule>
  </conditionalFormatting>
  <conditionalFormatting sqref="B6">
    <cfRule type="containsText" dxfId="8" priority="1" operator="containsText" text="(대상)">
      <formula>NOT(ISERROR(SEARCH("(대상)",B6)))</formula>
    </cfRule>
  </conditionalFormatting>
  <printOptions horizontalCentered="1"/>
  <pageMargins left="0.19685039370078741" right="0.19685039370078741" top="1.3385826771653544" bottom="0.19685039370078741" header="3.937007874015748E-2" footer="0"/>
  <pageSetup paperSize="9" scale="99" orientation="portrait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C000"/>
  </sheetPr>
  <dimension ref="A1:AH11"/>
  <sheetViews>
    <sheetView workbookViewId="0">
      <pane xSplit="2" ySplit="2" topLeftCell="J3" activePane="bottomRight" state="frozen"/>
      <selection activeCell="C3" sqref="C3:E13"/>
      <selection pane="topRight" activeCell="C3" sqref="C3:E13"/>
      <selection pane="bottomLeft" activeCell="C3" sqref="C3:E13"/>
      <selection pane="bottomRight" activeCell="AB35" sqref="AB35"/>
    </sheetView>
  </sheetViews>
  <sheetFormatPr defaultRowHeight="12"/>
  <cols>
    <col min="1" max="1" width="4.5" style="88" bestFit="1" customWidth="1"/>
    <col min="2" max="4" width="8.5" style="88" bestFit="1" customWidth="1"/>
    <col min="5" max="5" width="14.375" style="88" customWidth="1"/>
    <col min="6" max="6" width="7.25" style="83" customWidth="1"/>
    <col min="7" max="7" width="14.375" style="88" customWidth="1"/>
    <col min="8" max="8" width="6" style="88" customWidth="1"/>
    <col min="9" max="11" width="5.375" style="88" customWidth="1"/>
    <col min="12" max="13" width="7.5" style="88" customWidth="1"/>
    <col min="14" max="14" width="9" style="88"/>
    <col min="15" max="15" width="11.5" style="88" bestFit="1" customWidth="1"/>
    <col min="16" max="16" width="10.5" style="83" customWidth="1"/>
    <col min="17" max="20" width="9" style="83" customWidth="1"/>
    <col min="21" max="21" width="9" style="84" customWidth="1"/>
    <col min="22" max="22" width="9" style="85" customWidth="1"/>
    <col min="23" max="23" width="9" style="86" customWidth="1"/>
    <col min="24" max="24" width="8.875" style="87" bestFit="1" customWidth="1"/>
    <col min="25" max="25" width="9" style="122"/>
    <col min="26" max="26" width="6.375" style="83" customWidth="1"/>
    <col min="27" max="27" width="10.5" style="83" customWidth="1"/>
    <col min="28" max="28" width="12.125" style="87" customWidth="1"/>
    <col min="29" max="29" width="8.875" style="91" customWidth="1"/>
    <col min="30" max="32" width="9" style="88"/>
    <col min="33" max="33" width="9" style="1"/>
    <col min="34" max="34" width="9" style="17"/>
    <col min="35" max="16384" width="9" style="1"/>
  </cols>
  <sheetData>
    <row r="1" spans="1:32">
      <c r="H1" s="88">
        <v>100</v>
      </c>
      <c r="I1" s="88">
        <v>50</v>
      </c>
      <c r="J1" s="88">
        <v>100</v>
      </c>
      <c r="K1" s="88">
        <v>200</v>
      </c>
      <c r="L1" s="88">
        <v>50</v>
      </c>
      <c r="P1" s="88">
        <v>1977</v>
      </c>
      <c r="Q1" s="88">
        <v>500</v>
      </c>
      <c r="R1" s="88">
        <v>10</v>
      </c>
    </row>
    <row r="2" spans="1:32" ht="24">
      <c r="A2" s="88" t="s">
        <v>0</v>
      </c>
      <c r="B2" s="88" t="s">
        <v>1</v>
      </c>
      <c r="C2" s="88" t="s">
        <v>146</v>
      </c>
      <c r="D2" s="88" t="s">
        <v>107</v>
      </c>
      <c r="E2" s="88" t="s">
        <v>14</v>
      </c>
      <c r="F2" s="83" t="s">
        <v>15</v>
      </c>
      <c r="G2" s="92" t="s">
        <v>2</v>
      </c>
      <c r="H2" s="88" t="s">
        <v>3</v>
      </c>
      <c r="I2" s="88" t="s">
        <v>4</v>
      </c>
      <c r="J2" s="88" t="s">
        <v>5</v>
      </c>
      <c r="K2" s="88" t="s">
        <v>6</v>
      </c>
      <c r="L2" s="88" t="s">
        <v>7</v>
      </c>
      <c r="M2" s="88" t="s">
        <v>8</v>
      </c>
      <c r="N2" s="88" t="s">
        <v>108</v>
      </c>
      <c r="O2" s="88" t="s">
        <v>106</v>
      </c>
      <c r="P2" s="93" t="s">
        <v>16</v>
      </c>
      <c r="Q2" s="83" t="s">
        <v>69</v>
      </c>
      <c r="R2" s="83" t="s">
        <v>17</v>
      </c>
      <c r="S2" s="83" t="s">
        <v>18</v>
      </c>
      <c r="T2" s="83" t="s">
        <v>70</v>
      </c>
      <c r="U2" s="84" t="s">
        <v>19</v>
      </c>
      <c r="V2" s="85" t="s">
        <v>20</v>
      </c>
      <c r="W2" s="86" t="s">
        <v>21</v>
      </c>
      <c r="X2" s="94" t="s">
        <v>22</v>
      </c>
      <c r="Y2" s="123" t="s">
        <v>116</v>
      </c>
      <c r="Z2" s="93" t="s">
        <v>68</v>
      </c>
      <c r="AA2" s="93" t="s">
        <v>23</v>
      </c>
      <c r="AB2" s="87" t="s">
        <v>82</v>
      </c>
      <c r="AC2" s="95" t="s">
        <v>24</v>
      </c>
      <c r="AD2" s="88" t="s">
        <v>92</v>
      </c>
      <c r="AE2" s="88" t="s">
        <v>95</v>
      </c>
      <c r="AF2" s="88" t="s">
        <v>102</v>
      </c>
    </row>
    <row r="3" spans="1:32">
      <c r="A3" s="88">
        <v>1</v>
      </c>
      <c r="B3" s="88" t="s">
        <v>164</v>
      </c>
      <c r="C3" s="88" t="s">
        <v>28</v>
      </c>
      <c r="D3" s="88" t="s">
        <v>112</v>
      </c>
      <c r="E3" s="89">
        <v>24838</v>
      </c>
      <c r="F3" s="83">
        <f>YEAR(E3)</f>
        <v>1968</v>
      </c>
      <c r="G3" s="88">
        <v>25</v>
      </c>
      <c r="H3" s="88">
        <v>1</v>
      </c>
      <c r="J3" s="88">
        <v>1</v>
      </c>
      <c r="K3" s="88">
        <v>1</v>
      </c>
      <c r="N3" s="88" t="s">
        <v>114</v>
      </c>
      <c r="O3" s="142" t="s">
        <v>125</v>
      </c>
      <c r="P3" s="83" t="str">
        <f>IF(AND(F3&lt;$P$1,MOD(F3,2)=0),"대상","")</f>
        <v>대상</v>
      </c>
      <c r="Q3" s="83">
        <f>$Q$1</f>
        <v>500</v>
      </c>
      <c r="R3" s="83">
        <f>IF(G3*$R$1&gt;300,300,G3*$R$1)</f>
        <v>250</v>
      </c>
      <c r="S3" s="83">
        <f>H3*$H$1+L3*$L$1+I3*$I$1+J3*$J$1+K3*$K$1</f>
        <v>400</v>
      </c>
      <c r="T3" s="83">
        <f>SUM(Q3:S3)</f>
        <v>1150</v>
      </c>
      <c r="U3" s="84">
        <f>SUMIFS(정산!$D:$D,정산!$A:$A,D3,정산!$B:$B,N3,정산!$C:$C,O3)</f>
        <v>293240</v>
      </c>
      <c r="V3" s="85">
        <f>U3/1000</f>
        <v>293.24</v>
      </c>
      <c r="W3" s="86">
        <f>T3-V3</f>
        <v>856.76</v>
      </c>
      <c r="X3" s="87">
        <f t="shared" ref="X3:X7" si="0">ROUNDDOWN(W3*10%*1000,-3)</f>
        <v>85000</v>
      </c>
      <c r="Y3" s="122">
        <f t="shared" ref="Y3:Y7" si="1">ROUNDDOWN(CEILING(X3,5000),1)</f>
        <v>85000</v>
      </c>
      <c r="Z3" s="87">
        <f>IF(ISERROR(INT((Y3-SUMPRODUCT(0))/10000)),"",INT((Y3-SUMPRODUCT(0))/10000))</f>
        <v>8</v>
      </c>
      <c r="AA3" s="87">
        <f>IF(ISERROR(INT(($Y3-SUMPRODUCT(10000*Z3))/5000)),"",INT(($Y3-SUMPRODUCT(10000*Z3))/5000))</f>
        <v>1</v>
      </c>
      <c r="AB3" s="87">
        <f>IF(ISERROR(Y3-Y3*5%),"0",Y3-Y3*5%)</f>
        <v>80750</v>
      </c>
      <c r="AC3" s="90">
        <f t="shared" ref="AC3:AC7" si="2">W3*1000-AB3</f>
        <v>776010</v>
      </c>
      <c r="AD3" s="88" t="s">
        <v>171</v>
      </c>
      <c r="AE3" s="88" t="s">
        <v>171</v>
      </c>
    </row>
    <row r="4" spans="1:32">
      <c r="A4" s="88">
        <v>2</v>
      </c>
      <c r="B4" s="88" t="s">
        <v>165</v>
      </c>
      <c r="C4" s="88" t="s">
        <v>28</v>
      </c>
      <c r="D4" s="88" t="s">
        <v>111</v>
      </c>
      <c r="E4" s="89">
        <v>21948</v>
      </c>
      <c r="F4" s="83">
        <f t="shared" ref="F4:F7" si="3">YEAR(E4)</f>
        <v>1960</v>
      </c>
      <c r="G4" s="88">
        <v>26</v>
      </c>
      <c r="H4" s="88">
        <v>1</v>
      </c>
      <c r="N4" s="88" t="s">
        <v>114</v>
      </c>
      <c r="O4" s="142" t="s">
        <v>126</v>
      </c>
      <c r="P4" s="83" t="str">
        <f t="shared" ref="P4:P7" si="4">IF(AND(F4&lt;$P$1,MOD(F4,2)=0),"대상","")</f>
        <v>대상</v>
      </c>
      <c r="Q4" s="83">
        <f t="shared" ref="Q4:Q7" si="5">$Q$1</f>
        <v>500</v>
      </c>
      <c r="R4" s="83">
        <f t="shared" ref="R4:R7" si="6">IF(G4*$R$1&gt;300,300,G4*$R$1)</f>
        <v>260</v>
      </c>
      <c r="S4" s="83">
        <f t="shared" ref="S4:S7" si="7">H4*$H$1+L4*$L$1+I4*$I$1+J4*$J$1+K4*$K$1</f>
        <v>100</v>
      </c>
      <c r="T4" s="83">
        <f t="shared" ref="T4:T7" si="8">SUM(Q4:S4)</f>
        <v>860</v>
      </c>
      <c r="U4" s="84">
        <f>SUMIFS(정산!$D:$D,정산!$A:$A,D4,정산!$B:$B,N4,정산!$C:$C,O4)</f>
        <v>425150</v>
      </c>
      <c r="V4" s="85">
        <f t="shared" ref="V4:V7" si="9">U4/1000</f>
        <v>425.15</v>
      </c>
      <c r="W4" s="86">
        <f t="shared" ref="W4:W7" si="10">T4-V4</f>
        <v>434.85</v>
      </c>
      <c r="X4" s="87">
        <f t="shared" si="0"/>
        <v>43000</v>
      </c>
      <c r="Y4" s="122" t="s">
        <v>175</v>
      </c>
      <c r="Z4" s="87" t="str">
        <f t="shared" ref="Z4:Z7" si="11">IF(ISERROR(INT((Y4-SUMPRODUCT(0))/10000)),"",INT((Y4-SUMPRODUCT(0))/10000))</f>
        <v/>
      </c>
      <c r="AA4" s="87" t="str">
        <f t="shared" ref="AA4:AA7" si="12">IF(ISERROR(INT(($Y4-SUMPRODUCT(10000*Z4))/5000)),"",INT(($Y4-SUMPRODUCT(10000*Z4))/5000))</f>
        <v/>
      </c>
      <c r="AB4" s="87" t="str">
        <f t="shared" ref="AB4:AB7" si="13">IF(ISERROR(Y4-Y4*5%),"0",Y4-Y4*5%)</f>
        <v>0</v>
      </c>
      <c r="AC4" s="90">
        <f t="shared" si="2"/>
        <v>434850</v>
      </c>
      <c r="AD4" s="88" t="s">
        <v>171</v>
      </c>
      <c r="AE4" s="88" t="s">
        <v>172</v>
      </c>
    </row>
    <row r="5" spans="1:32">
      <c r="A5" s="88">
        <v>3</v>
      </c>
      <c r="B5" s="88" t="s">
        <v>166</v>
      </c>
      <c r="C5" s="88" t="s">
        <v>28</v>
      </c>
      <c r="D5" s="88" t="s">
        <v>110</v>
      </c>
      <c r="E5" s="89">
        <v>30378</v>
      </c>
      <c r="F5" s="83">
        <f t="shared" si="3"/>
        <v>1983</v>
      </c>
      <c r="G5" s="88">
        <v>27</v>
      </c>
      <c r="H5" s="88">
        <v>1</v>
      </c>
      <c r="I5" s="88">
        <v>1</v>
      </c>
      <c r="N5" s="88" t="s">
        <v>113</v>
      </c>
      <c r="O5" s="142" t="s">
        <v>125</v>
      </c>
      <c r="P5" s="83" t="str">
        <f t="shared" si="4"/>
        <v/>
      </c>
      <c r="Q5" s="83">
        <f t="shared" si="5"/>
        <v>500</v>
      </c>
      <c r="R5" s="83">
        <f t="shared" si="6"/>
        <v>270</v>
      </c>
      <c r="S5" s="83">
        <f t="shared" si="7"/>
        <v>150</v>
      </c>
      <c r="T5" s="83">
        <f t="shared" si="8"/>
        <v>920</v>
      </c>
      <c r="U5" s="84">
        <f>SUMIFS(정산!$D:$D,정산!$A:$A,D5,정산!$B:$B,N5,정산!$C:$C,O5)</f>
        <v>166930</v>
      </c>
      <c r="V5" s="85">
        <f t="shared" si="9"/>
        <v>166.93</v>
      </c>
      <c r="W5" s="86">
        <f t="shared" si="10"/>
        <v>753.06999999999994</v>
      </c>
      <c r="X5" s="87">
        <f t="shared" si="0"/>
        <v>75000</v>
      </c>
      <c r="Y5" s="122">
        <f t="shared" si="1"/>
        <v>75000</v>
      </c>
      <c r="Z5" s="87">
        <f t="shared" si="11"/>
        <v>7</v>
      </c>
      <c r="AA5" s="87">
        <f t="shared" si="12"/>
        <v>1</v>
      </c>
      <c r="AB5" s="87">
        <f t="shared" si="13"/>
        <v>71250</v>
      </c>
      <c r="AC5" s="90">
        <f t="shared" si="2"/>
        <v>681819.99999999988</v>
      </c>
      <c r="AD5" s="88" t="s">
        <v>172</v>
      </c>
    </row>
    <row r="6" spans="1:32">
      <c r="A6" s="88">
        <v>4</v>
      </c>
      <c r="B6" s="88" t="s">
        <v>167</v>
      </c>
      <c r="C6" s="88" t="s">
        <v>169</v>
      </c>
      <c r="D6" s="88" t="s">
        <v>110</v>
      </c>
      <c r="E6" s="89">
        <v>23105</v>
      </c>
      <c r="F6" s="83">
        <f t="shared" si="3"/>
        <v>1963</v>
      </c>
      <c r="G6" s="88">
        <v>28</v>
      </c>
      <c r="N6" s="88" t="s">
        <v>113</v>
      </c>
      <c r="O6" s="142" t="s">
        <v>126</v>
      </c>
      <c r="P6" s="83" t="str">
        <f t="shared" si="4"/>
        <v/>
      </c>
      <c r="Q6" s="83">
        <f t="shared" si="5"/>
        <v>500</v>
      </c>
      <c r="R6" s="83">
        <f t="shared" si="6"/>
        <v>280</v>
      </c>
      <c r="S6" s="83">
        <f t="shared" si="7"/>
        <v>0</v>
      </c>
      <c r="T6" s="83">
        <f t="shared" si="8"/>
        <v>780</v>
      </c>
      <c r="U6" s="84">
        <f>SUMIFS(정산!$D:$D,정산!$A:$A,D6,정산!$B:$B,N6,정산!$C:$C,O6)</f>
        <v>256290</v>
      </c>
      <c r="V6" s="85">
        <f t="shared" si="9"/>
        <v>256.29000000000002</v>
      </c>
      <c r="W6" s="86">
        <f t="shared" si="10"/>
        <v>523.71</v>
      </c>
      <c r="X6" s="87">
        <f t="shared" si="0"/>
        <v>52000</v>
      </c>
      <c r="Y6" s="122">
        <f t="shared" si="1"/>
        <v>55000</v>
      </c>
      <c r="Z6" s="87">
        <f t="shared" si="11"/>
        <v>5</v>
      </c>
      <c r="AA6" s="87">
        <f t="shared" si="12"/>
        <v>1</v>
      </c>
      <c r="AB6" s="87">
        <f t="shared" si="13"/>
        <v>52250</v>
      </c>
      <c r="AC6" s="90">
        <f t="shared" si="2"/>
        <v>471460.00000000006</v>
      </c>
      <c r="AD6" s="88" t="s">
        <v>172</v>
      </c>
    </row>
    <row r="7" spans="1:32">
      <c r="A7" s="88">
        <v>5</v>
      </c>
      <c r="B7" s="88" t="s">
        <v>168</v>
      </c>
      <c r="C7" s="88" t="s">
        <v>169</v>
      </c>
      <c r="D7" s="88" t="s">
        <v>109</v>
      </c>
      <c r="E7" s="89">
        <v>23136</v>
      </c>
      <c r="F7" s="83">
        <f t="shared" si="3"/>
        <v>1963</v>
      </c>
      <c r="G7" s="88">
        <v>29</v>
      </c>
      <c r="H7" s="88">
        <v>1</v>
      </c>
      <c r="L7" s="88">
        <v>1</v>
      </c>
      <c r="N7" s="88" t="s">
        <v>113</v>
      </c>
      <c r="O7" s="142" t="s">
        <v>170</v>
      </c>
      <c r="P7" s="83" t="str">
        <f t="shared" si="4"/>
        <v/>
      </c>
      <c r="Q7" s="83">
        <f t="shared" si="5"/>
        <v>500</v>
      </c>
      <c r="R7" s="83">
        <f t="shared" si="6"/>
        <v>290</v>
      </c>
      <c r="S7" s="83">
        <f t="shared" si="7"/>
        <v>150</v>
      </c>
      <c r="T7" s="83">
        <f t="shared" si="8"/>
        <v>940</v>
      </c>
      <c r="U7" s="84">
        <f>SUMIFS(정산!$D:$D,정산!$A:$A,D7,정산!$B:$B,N7,정산!$C:$C,O7)</f>
        <v>293240</v>
      </c>
      <c r="V7" s="85">
        <f t="shared" si="9"/>
        <v>293.24</v>
      </c>
      <c r="W7" s="86">
        <f t="shared" si="10"/>
        <v>646.76</v>
      </c>
      <c r="X7" s="87">
        <f t="shared" si="0"/>
        <v>64000</v>
      </c>
      <c r="Y7" s="122">
        <f t="shared" si="1"/>
        <v>65000</v>
      </c>
      <c r="Z7" s="87">
        <f t="shared" si="11"/>
        <v>6</v>
      </c>
      <c r="AA7" s="87">
        <f t="shared" si="12"/>
        <v>1</v>
      </c>
      <c r="AB7" s="87">
        <f t="shared" si="13"/>
        <v>61750</v>
      </c>
      <c r="AC7" s="90">
        <f t="shared" si="2"/>
        <v>585010</v>
      </c>
      <c r="AD7" s="88" t="s">
        <v>173</v>
      </c>
    </row>
    <row r="8" spans="1:32">
      <c r="X8" s="87">
        <f>SUM(X3:X7)</f>
        <v>319000</v>
      </c>
      <c r="Y8" s="122">
        <f>SUM(Y3:Y7)</f>
        <v>280000</v>
      </c>
      <c r="Z8" s="97">
        <f>SUM(Z3:Z7)</f>
        <v>26</v>
      </c>
      <c r="AA8" s="98">
        <f>SUM(AA3:AA7)</f>
        <v>4</v>
      </c>
    </row>
    <row r="9" spans="1:32" ht="16.5" customHeight="1">
      <c r="Z9" s="189">
        <f>Z8*10000+AA8*5000</f>
        <v>280000</v>
      </c>
      <c r="AA9" s="189"/>
      <c r="AB9" s="124">
        <f>SUM(AB3:AB7)</f>
        <v>266000</v>
      </c>
    </row>
    <row r="10" spans="1:32">
      <c r="U10" s="83"/>
      <c r="V10" s="83"/>
      <c r="W10" s="83"/>
      <c r="X10" s="83"/>
      <c r="Y10" s="88"/>
      <c r="AC10" s="96"/>
    </row>
    <row r="11" spans="1:32">
      <c r="B11" s="88">
        <v>1</v>
      </c>
      <c r="C11" s="88">
        <v>2</v>
      </c>
      <c r="D11" s="88">
        <v>3</v>
      </c>
      <c r="E11" s="88">
        <v>4</v>
      </c>
      <c r="F11" s="88">
        <v>5</v>
      </c>
      <c r="G11" s="88">
        <v>6</v>
      </c>
      <c r="H11" s="88">
        <v>7</v>
      </c>
      <c r="I11" s="88">
        <v>8</v>
      </c>
      <c r="J11" s="88">
        <v>9</v>
      </c>
      <c r="K11" s="88">
        <v>10</v>
      </c>
      <c r="L11" s="88">
        <v>11</v>
      </c>
      <c r="M11" s="88">
        <v>12</v>
      </c>
      <c r="N11" s="88">
        <v>13</v>
      </c>
      <c r="O11" s="88">
        <v>14</v>
      </c>
      <c r="P11" s="88">
        <v>15</v>
      </c>
      <c r="Q11" s="88">
        <v>16</v>
      </c>
      <c r="R11" s="88">
        <v>17</v>
      </c>
      <c r="S11" s="88">
        <v>18</v>
      </c>
      <c r="T11" s="88">
        <v>19</v>
      </c>
      <c r="U11" s="88">
        <v>20</v>
      </c>
      <c r="V11" s="88">
        <v>21</v>
      </c>
      <c r="W11" s="88">
        <v>22</v>
      </c>
      <c r="X11" s="88">
        <v>23</v>
      </c>
      <c r="Y11" s="88">
        <v>24</v>
      </c>
      <c r="Z11" s="88">
        <v>25</v>
      </c>
      <c r="AA11" s="88">
        <v>26</v>
      </c>
      <c r="AB11" s="88">
        <v>27</v>
      </c>
      <c r="AC11" s="88">
        <v>28</v>
      </c>
    </row>
  </sheetData>
  <autoFilter ref="A2:AF9"/>
  <sortState ref="A2:Z38">
    <sortCondition ref="B1"/>
  </sortState>
  <mergeCells count="1">
    <mergeCell ref="Z9:AA9"/>
  </mergeCells>
  <phoneticPr fontId="23" type="noConversion"/>
  <conditionalFormatting sqref="N12:N1048576 N1:N10">
    <cfRule type="cellIs" dxfId="7" priority="5" operator="equal">
      <formula>"2억"</formula>
    </cfRule>
  </conditionalFormatting>
  <conditionalFormatting sqref="D12:D1048576 D1:D10">
    <cfRule type="cellIs" dxfId="6" priority="3" operator="equal">
      <formula>"여"</formula>
    </cfRule>
    <cfRule type="cellIs" dxfId="5" priority="4" operator="equal">
      <formula>"남"</formula>
    </cfRule>
  </conditionalFormatting>
  <conditionalFormatting sqref="Y1:Y1048576">
    <cfRule type="cellIs" dxfId="4" priority="2" operator="equal">
      <formula>"개인구매"</formula>
    </cfRule>
  </conditionalFormatting>
  <conditionalFormatting sqref="O1:O1048576">
    <cfRule type="cellIs" dxfId="3" priority="1" operator="equal">
      <formula>"실손보험 면제"</formula>
    </cfRule>
  </conditionalFormatting>
  <dataValidations count="4">
    <dataValidation type="list" allowBlank="1" showInputMessage="1" showErrorMessage="1" sqref="M1:M1048576">
      <formula1>" ,대상"</formula1>
    </dataValidation>
    <dataValidation type="list" allowBlank="1" showInputMessage="1" showErrorMessage="1" sqref="AF1:AF1048576">
      <formula1>"지급"</formula1>
    </dataValidation>
    <dataValidation type="list" allowBlank="1" showInputMessage="1" showErrorMessage="1" sqref="AD1:AE1048576">
      <formula1>"1차,2차,3차"</formula1>
    </dataValidation>
    <dataValidation type="list" allowBlank="1" showInputMessage="1" sqref="Y1:Y1048576">
      <formula1>"개인구매"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13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M51"/>
  <sheetViews>
    <sheetView showZeros="0" workbookViewId="0">
      <selection sqref="A1:K1"/>
    </sheetView>
  </sheetViews>
  <sheetFormatPr defaultRowHeight="20.25" customHeight="1"/>
  <cols>
    <col min="1" max="1" width="10.25" style="58" customWidth="1"/>
    <col min="2" max="11" width="10.125" style="58" customWidth="1"/>
    <col min="12" max="16384" width="9" style="58"/>
  </cols>
  <sheetData>
    <row r="1" spans="1:13" ht="20.25" customHeight="1">
      <c r="A1" s="208" t="s">
        <v>104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3" ht="20.25" customHeight="1">
      <c r="A2" s="202" t="s">
        <v>105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3" ht="20.25" customHeight="1">
      <c r="A3" s="209" t="s">
        <v>72</v>
      </c>
      <c r="B3" s="204" t="s">
        <v>73</v>
      </c>
      <c r="C3" s="201"/>
      <c r="D3" s="200" t="s">
        <v>74</v>
      </c>
      <c r="E3" s="203"/>
      <c r="F3" s="204" t="s">
        <v>75</v>
      </c>
      <c r="G3" s="201"/>
      <c r="H3" s="200" t="s">
        <v>76</v>
      </c>
      <c r="I3" s="201"/>
      <c r="J3" s="200" t="s">
        <v>100</v>
      </c>
      <c r="K3" s="201"/>
    </row>
    <row r="4" spans="1:13" ht="20.25" customHeight="1">
      <c r="A4" s="210"/>
      <c r="B4" s="59" t="s">
        <v>28</v>
      </c>
      <c r="C4" s="60" t="s">
        <v>137</v>
      </c>
      <c r="D4" s="59" t="s">
        <v>28</v>
      </c>
      <c r="E4" s="60" t="s">
        <v>137</v>
      </c>
      <c r="F4" s="59" t="s">
        <v>28</v>
      </c>
      <c r="G4" s="60" t="s">
        <v>137</v>
      </c>
      <c r="H4" s="59" t="s">
        <v>28</v>
      </c>
      <c r="I4" s="60" t="s">
        <v>137</v>
      </c>
      <c r="J4" s="59" t="s">
        <v>28</v>
      </c>
      <c r="K4" s="60" t="s">
        <v>137</v>
      </c>
    </row>
    <row r="5" spans="1:13" ht="20.25" customHeight="1">
      <c r="A5" s="61" t="s">
        <v>174</v>
      </c>
      <c r="B5" s="135">
        <v>885320</v>
      </c>
      <c r="C5" s="136">
        <v>549530</v>
      </c>
      <c r="D5" s="137">
        <v>194750</v>
      </c>
      <c r="E5" s="138">
        <v>114000</v>
      </c>
      <c r="F5" s="135">
        <v>1849930</v>
      </c>
      <c r="G5" s="136">
        <v>1056470</v>
      </c>
      <c r="H5" s="137">
        <v>400000</v>
      </c>
      <c r="I5" s="136"/>
      <c r="J5" s="137"/>
      <c r="K5" s="136"/>
      <c r="M5" s="131" t="s">
        <v>148</v>
      </c>
    </row>
    <row r="6" spans="1:13" ht="20.25" customHeight="1">
      <c r="A6" s="69" t="s">
        <v>81</v>
      </c>
      <c r="B6" s="70">
        <f>B5</f>
        <v>885320</v>
      </c>
      <c r="C6" s="71">
        <f>C5</f>
        <v>549530</v>
      </c>
      <c r="D6" s="72"/>
      <c r="E6" s="73"/>
      <c r="F6" s="70">
        <f>D5+F5+H5+J5</f>
        <v>2444680</v>
      </c>
      <c r="G6" s="71">
        <f>E5+G5+I5+K5</f>
        <v>1170470</v>
      </c>
      <c r="H6" s="72"/>
      <c r="I6" s="71"/>
      <c r="J6" s="72"/>
      <c r="K6" s="71">
        <f>K5</f>
        <v>0</v>
      </c>
    </row>
    <row r="7" spans="1:13" ht="20.25" customHeight="1">
      <c r="A7" s="62"/>
      <c r="B7" s="62"/>
      <c r="C7" s="62"/>
      <c r="D7" s="62"/>
      <c r="E7" s="62"/>
      <c r="F7" s="62"/>
      <c r="G7" s="62"/>
      <c r="H7" s="62"/>
      <c r="I7" s="62"/>
    </row>
    <row r="8" spans="1:13" ht="20.25" customHeight="1">
      <c r="A8" s="197" t="s">
        <v>80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</row>
    <row r="9" spans="1:13" ht="20.25" customHeight="1">
      <c r="A9" s="205"/>
      <c r="B9" s="204" t="s">
        <v>73</v>
      </c>
      <c r="C9" s="201"/>
      <c r="D9" s="200" t="s">
        <v>74</v>
      </c>
      <c r="E9" s="203"/>
      <c r="F9" s="204" t="s">
        <v>75</v>
      </c>
      <c r="G9" s="201"/>
      <c r="H9" s="200" t="s">
        <v>76</v>
      </c>
      <c r="I9" s="201"/>
      <c r="J9" s="200" t="s">
        <v>100</v>
      </c>
      <c r="K9" s="201"/>
    </row>
    <row r="10" spans="1:13" ht="20.25" customHeight="1">
      <c r="A10" s="206"/>
      <c r="B10" s="59" t="s">
        <v>28</v>
      </c>
      <c r="C10" s="60" t="s">
        <v>137</v>
      </c>
      <c r="D10" s="59" t="s">
        <v>28</v>
      </c>
      <c r="E10" s="60" t="s">
        <v>137</v>
      </c>
      <c r="F10" s="59" t="s">
        <v>28</v>
      </c>
      <c r="G10" s="60" t="s">
        <v>137</v>
      </c>
      <c r="H10" s="59" t="s">
        <v>28</v>
      </c>
      <c r="I10" s="60" t="s">
        <v>137</v>
      </c>
      <c r="J10" s="59" t="s">
        <v>28</v>
      </c>
      <c r="K10" s="60" t="s">
        <v>137</v>
      </c>
    </row>
    <row r="11" spans="1:13" ht="20.25" customHeight="1">
      <c r="A11" s="61" t="str">
        <f>COUNTIF(명단!A:A,"&gt;0")&amp;"명"</f>
        <v>5명</v>
      </c>
      <c r="B11" s="135"/>
      <c r="C11" s="136"/>
      <c r="D11" s="137">
        <v>152000</v>
      </c>
      <c r="E11" s="138">
        <v>114000</v>
      </c>
      <c r="F11" s="135">
        <v>1849930</v>
      </c>
      <c r="G11" s="136">
        <v>1056470</v>
      </c>
      <c r="H11" s="137">
        <v>400000</v>
      </c>
      <c r="I11" s="136"/>
      <c r="J11" s="137"/>
      <c r="K11" s="136"/>
      <c r="M11" s="131" t="s">
        <v>148</v>
      </c>
    </row>
    <row r="12" spans="1:13" ht="20.25" customHeight="1">
      <c r="A12" s="61" t="s">
        <v>77</v>
      </c>
      <c r="B12" s="135"/>
      <c r="C12" s="136"/>
      <c r="D12" s="137"/>
      <c r="E12" s="138"/>
      <c r="F12" s="135"/>
      <c r="G12" s="136"/>
      <c r="H12" s="137"/>
      <c r="I12" s="136"/>
      <c r="J12" s="137"/>
      <c r="K12" s="136"/>
      <c r="M12" s="131" t="s">
        <v>148</v>
      </c>
    </row>
    <row r="13" spans="1:13" ht="20.25" customHeight="1">
      <c r="A13" s="69" t="s">
        <v>81</v>
      </c>
      <c r="B13" s="70">
        <f>SUM(B11:B12)</f>
        <v>0</v>
      </c>
      <c r="C13" s="71">
        <f>SUM(C11:C12)</f>
        <v>0</v>
      </c>
      <c r="D13" s="72"/>
      <c r="E13" s="73"/>
      <c r="F13" s="70">
        <f>SUM(D11:D12)+SUM(H11:H12)+SUM(F11:F12)+SUM(J11:J12)</f>
        <v>2401930</v>
      </c>
      <c r="G13" s="71">
        <f>SUM(E11:E12)+SUM(I11:I12)+SUM(G11:G12)+SUM(K11:K12)</f>
        <v>1170470</v>
      </c>
      <c r="H13" s="72"/>
      <c r="I13" s="71"/>
      <c r="J13" s="72"/>
      <c r="K13" s="141"/>
    </row>
    <row r="14" spans="1:13" ht="20.25" customHeight="1">
      <c r="B14" s="207" t="s">
        <v>123</v>
      </c>
      <c r="C14" s="207"/>
      <c r="D14" s="207"/>
      <c r="E14" s="207"/>
      <c r="F14" s="207"/>
      <c r="G14" s="207"/>
      <c r="H14" s="207"/>
      <c r="I14" s="207"/>
      <c r="J14" s="207"/>
      <c r="K14" s="207"/>
    </row>
    <row r="15" spans="1:13" ht="20.25" customHeight="1">
      <c r="A15" s="202" t="s">
        <v>89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</row>
    <row r="16" spans="1:13" ht="20.25" customHeight="1">
      <c r="A16" s="211"/>
      <c r="B16" s="213" t="s">
        <v>73</v>
      </c>
      <c r="C16" s="214"/>
      <c r="D16" s="215" t="s">
        <v>74</v>
      </c>
      <c r="E16" s="216"/>
      <c r="F16" s="213" t="s">
        <v>75</v>
      </c>
      <c r="G16" s="214"/>
      <c r="H16" s="215" t="s">
        <v>76</v>
      </c>
      <c r="I16" s="214"/>
      <c r="J16" s="215" t="s">
        <v>101</v>
      </c>
      <c r="K16" s="214"/>
    </row>
    <row r="17" spans="1:11" ht="20.25" customHeight="1">
      <c r="A17" s="212"/>
      <c r="B17" s="125" t="s">
        <v>28</v>
      </c>
      <c r="C17" s="126" t="s">
        <v>137</v>
      </c>
      <c r="D17" s="125" t="s">
        <v>28</v>
      </c>
      <c r="E17" s="126" t="s">
        <v>137</v>
      </c>
      <c r="F17" s="125" t="s">
        <v>28</v>
      </c>
      <c r="G17" s="126" t="s">
        <v>137</v>
      </c>
      <c r="H17" s="125" t="s">
        <v>28</v>
      </c>
      <c r="I17" s="126" t="s">
        <v>137</v>
      </c>
      <c r="J17" s="125" t="s">
        <v>28</v>
      </c>
      <c r="K17" s="126" t="s">
        <v>137</v>
      </c>
    </row>
    <row r="18" spans="1:11" ht="20.25" customHeight="1">
      <c r="A18" s="78" t="s">
        <v>83</v>
      </c>
      <c r="B18" s="79">
        <v>0</v>
      </c>
      <c r="C18" s="80">
        <v>0</v>
      </c>
      <c r="D18" s="81"/>
      <c r="E18" s="82"/>
      <c r="F18" s="79"/>
      <c r="G18" s="80"/>
      <c r="H18" s="81"/>
      <c r="I18" s="80"/>
      <c r="J18" s="81"/>
      <c r="K18" s="80"/>
    </row>
    <row r="19" spans="1:11" ht="20.25" customHeight="1">
      <c r="A19" s="78" t="s">
        <v>84</v>
      </c>
      <c r="B19" s="79"/>
      <c r="C19" s="80"/>
      <c r="D19" s="81">
        <f>SUMIFS($D:$D,$B:$B,"온누리 상품권 단체구입")</f>
        <v>152000</v>
      </c>
      <c r="E19" s="82">
        <f>SUMIFS($E:$E,$B:$B,"온누리 상품권 단체구입")</f>
        <v>114000</v>
      </c>
      <c r="F19" s="79"/>
      <c r="G19" s="80"/>
      <c r="H19" s="81"/>
      <c r="I19" s="80"/>
      <c r="J19" s="81"/>
      <c r="K19" s="80"/>
    </row>
    <row r="20" spans="1:11" ht="20.25" customHeight="1">
      <c r="A20" s="78" t="s">
        <v>100</v>
      </c>
      <c r="B20" s="79"/>
      <c r="C20" s="80"/>
      <c r="D20" s="81"/>
      <c r="E20" s="82"/>
      <c r="F20" s="79"/>
      <c r="G20" s="80"/>
      <c r="H20" s="81"/>
      <c r="I20" s="80"/>
      <c r="J20" s="81">
        <f>SUMIFS($D:$D,$B:$B,"출산축하금")</f>
        <v>0</v>
      </c>
      <c r="K20" s="80">
        <f>SUMIFS($E:$E,$B:$B,"출산축하금")</f>
        <v>0</v>
      </c>
    </row>
    <row r="21" spans="1:11" ht="20.25" customHeight="1">
      <c r="A21" s="78" t="s">
        <v>78</v>
      </c>
      <c r="B21" s="79"/>
      <c r="C21" s="80"/>
      <c r="D21" s="81"/>
      <c r="E21" s="82"/>
      <c r="F21" s="79">
        <f>SUMIFS($D:$D,$B:$B,"자율항목-1차")</f>
        <v>1210860</v>
      </c>
      <c r="G21" s="80">
        <f>SUMIFS($E:$E,$B:$B,"자율항목-1차")</f>
        <v>0</v>
      </c>
      <c r="H21" s="79">
        <f>SUMIFS($D:$D,$B:$B,"특별검진-1차")</f>
        <v>200000</v>
      </c>
      <c r="I21" s="80">
        <f>SUMIFS($E:$E,$B:$B,"특별검진-1차")</f>
        <v>0</v>
      </c>
      <c r="J21" s="79">
        <f>SUMIFS($D:$D,$B:$B,"출산축하-1차")</f>
        <v>0</v>
      </c>
      <c r="K21" s="80">
        <f>SUMIFS($E:$E,$B:$B,"출산축하-1차")</f>
        <v>0</v>
      </c>
    </row>
    <row r="22" spans="1:11" ht="20.25" customHeight="1">
      <c r="A22" s="78" t="s">
        <v>85</v>
      </c>
      <c r="B22" s="79"/>
      <c r="C22" s="80"/>
      <c r="D22" s="81"/>
      <c r="E22" s="82"/>
      <c r="F22" s="79">
        <f>SUMIFS($D:$D,$B:$B,"자율항목-2차")</f>
        <v>681819.99999999988</v>
      </c>
      <c r="G22" s="80">
        <f>SUMIFS($E:$E,$B:$B,"자율항목-2차")</f>
        <v>471460.00000000006</v>
      </c>
      <c r="H22" s="79">
        <f>SUMIFS($D:$D,$B:$B,"특별검진-2차")</f>
        <v>200000</v>
      </c>
      <c r="I22" s="80">
        <f>SUMIFS($E:$E,$B:$B,"특별검진-2차")</f>
        <v>0</v>
      </c>
      <c r="J22" s="79">
        <f>SUMIFS($D:$D,$B:$B,"출산축하-2차")</f>
        <v>0</v>
      </c>
      <c r="K22" s="80">
        <f>SUMIFS($E:$E,$B:$B,"출산축하-2차")</f>
        <v>0</v>
      </c>
    </row>
    <row r="23" spans="1:11" ht="20.25" customHeight="1">
      <c r="A23" s="61" t="s">
        <v>79</v>
      </c>
      <c r="B23" s="63"/>
      <c r="C23" s="64"/>
      <c r="D23" s="65"/>
      <c r="E23" s="66"/>
      <c r="F23" s="63">
        <f>SUMIFS($D:$D,$B:$B,"자율항목-3차")</f>
        <v>0</v>
      </c>
      <c r="G23" s="64">
        <f>SUMIFS($E:$E,$B:$B,"자율항목-3차")</f>
        <v>585010</v>
      </c>
      <c r="H23" s="63">
        <f>SUMIFS($D:$D,$B:$B,"특별검진-3차")</f>
        <v>0</v>
      </c>
      <c r="I23" s="64">
        <f>SUMIFS($E:$E,$B:$B,"특별검진-3차")</f>
        <v>0</v>
      </c>
      <c r="J23" s="63">
        <f>SUMIFS($D:$D,$B:$B,"출산축하-3차")</f>
        <v>0</v>
      </c>
      <c r="K23" s="64">
        <f>SUMIFS($E:$E,$B:$B,"출산축하-3차")</f>
        <v>0</v>
      </c>
    </row>
    <row r="24" spans="1:11" ht="20.25" customHeight="1">
      <c r="A24" s="69" t="s">
        <v>81</v>
      </c>
      <c r="B24" s="70">
        <f>SUM(B18:B23)</f>
        <v>0</v>
      </c>
      <c r="C24" s="71">
        <f t="shared" ref="C24:H24" si="0">SUM(C18:C23)</f>
        <v>0</v>
      </c>
      <c r="D24" s="72">
        <f t="shared" si="0"/>
        <v>152000</v>
      </c>
      <c r="E24" s="73">
        <f t="shared" si="0"/>
        <v>114000</v>
      </c>
      <c r="F24" s="70">
        <f t="shared" si="0"/>
        <v>1892680</v>
      </c>
      <c r="G24" s="71">
        <f t="shared" si="0"/>
        <v>1056470</v>
      </c>
      <c r="H24" s="72">
        <f t="shared" si="0"/>
        <v>400000</v>
      </c>
      <c r="I24" s="71">
        <f>SUM(I18:I23)</f>
        <v>0</v>
      </c>
      <c r="J24" s="72">
        <f t="shared" ref="J24:K24" si="1">SUM(J18:J23)</f>
        <v>0</v>
      </c>
      <c r="K24" s="71">
        <f t="shared" si="1"/>
        <v>0</v>
      </c>
    </row>
    <row r="26" spans="1:11" ht="20.25" customHeight="1">
      <c r="A26" s="197" t="s">
        <v>87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spans="1:11" ht="20.25" customHeight="1">
      <c r="A27" s="209" t="s">
        <v>72</v>
      </c>
      <c r="B27" s="204" t="s">
        <v>73</v>
      </c>
      <c r="C27" s="201"/>
      <c r="D27" s="200" t="s">
        <v>74</v>
      </c>
      <c r="E27" s="203"/>
      <c r="F27" s="204" t="s">
        <v>75</v>
      </c>
      <c r="G27" s="201"/>
      <c r="H27" s="200" t="s">
        <v>76</v>
      </c>
      <c r="I27" s="201"/>
      <c r="J27" s="200" t="s">
        <v>101</v>
      </c>
      <c r="K27" s="201"/>
    </row>
    <row r="28" spans="1:11" ht="20.25" customHeight="1">
      <c r="A28" s="210"/>
      <c r="B28" s="59" t="s">
        <v>28</v>
      </c>
      <c r="C28" s="60" t="s">
        <v>137</v>
      </c>
      <c r="D28" s="59" t="s">
        <v>28</v>
      </c>
      <c r="E28" s="60" t="s">
        <v>137</v>
      </c>
      <c r="F28" s="59" t="s">
        <v>28</v>
      </c>
      <c r="G28" s="60" t="s">
        <v>137</v>
      </c>
      <c r="H28" s="59" t="s">
        <v>28</v>
      </c>
      <c r="I28" s="60" t="s">
        <v>137</v>
      </c>
      <c r="J28" s="59" t="s">
        <v>28</v>
      </c>
      <c r="K28" s="60" t="s">
        <v>137</v>
      </c>
    </row>
    <row r="29" spans="1:11" ht="20.25" customHeight="1">
      <c r="A29" s="61" t="str">
        <f>A11</f>
        <v>5명</v>
      </c>
      <c r="B29" s="152">
        <f t="shared" ref="B29:I29" si="2">SUM(B11:B12)-SUM(B18:B23)</f>
        <v>0</v>
      </c>
      <c r="C29" s="153">
        <f t="shared" si="2"/>
        <v>0</v>
      </c>
      <c r="D29" s="152">
        <f t="shared" si="2"/>
        <v>0</v>
      </c>
      <c r="E29" s="153">
        <f t="shared" si="2"/>
        <v>0</v>
      </c>
      <c r="F29" s="152">
        <f>SUM(F11:F12)-SUM(F18:F23)</f>
        <v>-42750</v>
      </c>
      <c r="G29" s="153">
        <f t="shared" si="2"/>
        <v>0</v>
      </c>
      <c r="H29" s="152">
        <f>SUM(H11:H12)-SUM(H18:H23)</f>
        <v>0</v>
      </c>
      <c r="I29" s="153">
        <f t="shared" si="2"/>
        <v>0</v>
      </c>
      <c r="J29" s="152">
        <f>SUM(J11:J12)-SUM(J18:J23)</f>
        <v>0</v>
      </c>
      <c r="K29" s="153">
        <f>SUM(K11:K12)-SUM(K18:K23)</f>
        <v>0</v>
      </c>
    </row>
    <row r="31" spans="1:11" ht="20.25" customHeight="1">
      <c r="A31" s="217" t="s">
        <v>88</v>
      </c>
      <c r="B31" s="217"/>
      <c r="C31" s="217"/>
      <c r="D31" s="217"/>
      <c r="E31" s="217"/>
      <c r="F31" s="217"/>
      <c r="G31" s="217"/>
      <c r="H31" s="217"/>
      <c r="I31" s="75" t="s">
        <v>93</v>
      </c>
      <c r="J31" s="196" t="s">
        <v>147</v>
      </c>
      <c r="K31" s="197"/>
    </row>
    <row r="32" spans="1:11" ht="20.25" customHeight="1">
      <c r="A32" s="132" t="s">
        <v>150</v>
      </c>
      <c r="B32" s="220" t="s">
        <v>91</v>
      </c>
      <c r="C32" s="220"/>
      <c r="D32" s="127">
        <v>0</v>
      </c>
      <c r="E32" s="127">
        <v>0</v>
      </c>
      <c r="F32" s="203" t="s">
        <v>124</v>
      </c>
      <c r="G32" s="221"/>
      <c r="H32" s="221"/>
      <c r="I32" s="128" t="str">
        <f>IF(ISERROR(((D32+E32)/($B$11+$C$11))),"",((D32+E32)/($B$11+$C$11)))</f>
        <v/>
      </c>
      <c r="J32" s="198"/>
      <c r="K32" s="199"/>
    </row>
    <row r="33" spans="1:13" ht="20.25" customHeight="1">
      <c r="A33" s="133" t="s">
        <v>151</v>
      </c>
      <c r="B33" s="218" t="s">
        <v>90</v>
      </c>
      <c r="C33" s="218"/>
      <c r="D33" s="67">
        <f>SUMIFS(명단!$AB:$AB,명단!$C:$C,D17)</f>
        <v>152000</v>
      </c>
      <c r="E33" s="67">
        <f>SUMIFS(명단!$AB:$AB,명단!$C:$C,E17)</f>
        <v>114000</v>
      </c>
      <c r="F33" s="222" t="str">
        <f>"5% 할인 적용 (교원 "&amp;COUNTIFS(명단!C:C,$B$17)-COUNTIFS(명단!C:C,$B$17,명단!Y:Y,"개인구매")&amp;"명, 사무직원 "&amp;COUNTIFS(명단!C:C,$C$17)-COUNTIFS(명단!C:C,$C$17,명단!Y:Y,"개인구매")&amp;"명)"</f>
        <v>5% 할인 적용 (교원 2명, 사무직원 2명)</v>
      </c>
      <c r="G33" s="223"/>
      <c r="H33" s="223"/>
      <c r="I33" s="74">
        <f>IF(ISERROR(((D33+E33)/($D$11+$E$11))),"",((D33+E33)/($D$11+$E$11)))</f>
        <v>1</v>
      </c>
      <c r="J33" s="190" t="s">
        <v>176</v>
      </c>
      <c r="K33" s="191"/>
      <c r="M33" s="131" t="s">
        <v>149</v>
      </c>
    </row>
    <row r="34" spans="1:13" ht="20.25" customHeight="1">
      <c r="A34" s="133" t="s">
        <v>151</v>
      </c>
      <c r="B34" s="219" t="s">
        <v>86</v>
      </c>
      <c r="C34" s="219"/>
      <c r="D34" s="76">
        <f>SUMIFS(명단!$AC:$AC,명단!$AD:$AD,$A21,명단!$C:$C,F$17)</f>
        <v>1210860</v>
      </c>
      <c r="E34" s="76">
        <f>SUMIFS(명단!$AC:$AC,명단!$AD:$AD,$A21,명단!$C:$C,G$17)</f>
        <v>0</v>
      </c>
      <c r="F34" s="222" t="str">
        <f>B34&amp;" (교원 "&amp;COUNTIFS(명단!$C:$C,$B$17,명단!$AD:$AD,$A21)&amp;"명, 사무직원 "&amp;COUNTIFS(명단!$C:$C,$C$17,명단!$AD:$AD,$A21)&amp;"명)"</f>
        <v>자율항목-1차 (교원 2명, 사무직원 0명)</v>
      </c>
      <c r="G34" s="223"/>
      <c r="H34" s="223"/>
      <c r="I34" s="77">
        <f>IF(ISERROR(SUM(F21:G21)/SUM(F11:G11)),"",SUM(F21:G21)/SUM(F11:G11))</f>
        <v>0.41661849710982657</v>
      </c>
      <c r="J34" s="190"/>
      <c r="K34" s="191"/>
      <c r="M34" s="131" t="s">
        <v>149</v>
      </c>
    </row>
    <row r="35" spans="1:13" ht="20.25" customHeight="1">
      <c r="A35" s="133" t="s">
        <v>151</v>
      </c>
      <c r="B35" s="219" t="s">
        <v>94</v>
      </c>
      <c r="C35" s="219"/>
      <c r="D35" s="76">
        <f>COUNTIFS(명단!$AE:$AE,정산!$A21,명단!$C:$C,정산!H$17)*200000</f>
        <v>200000</v>
      </c>
      <c r="E35" s="76">
        <f>COUNTIFS(명단!$AE:$AE,정산!$A21,명단!$C:$C,정산!I$17)*200000</f>
        <v>0</v>
      </c>
      <c r="F35" s="222" t="str">
        <f>B35&amp;" (교원 "&amp;COUNTIFS(명단!$C:$C,$B$17,명단!$AE:$AE,$A21)&amp;"명, 사무직원 "&amp;COUNTIFS(명단!$C:$C,$C$17,명단!$AE:$AE,$A21)&amp;"명)"</f>
        <v>특별검진-1차 (교원 1명, 사무직원 0명)</v>
      </c>
      <c r="G35" s="223"/>
      <c r="H35" s="223"/>
      <c r="I35" s="77">
        <f>IF(ISERROR(SUM(H21:I21)/SUM(H11:I11)),"",SUM(H21:I21)/SUM(H11:I11))</f>
        <v>0.5</v>
      </c>
      <c r="J35" s="190"/>
      <c r="K35" s="191"/>
      <c r="M35" s="131" t="s">
        <v>149</v>
      </c>
    </row>
    <row r="36" spans="1:13" ht="20.25" customHeight="1">
      <c r="A36" s="133" t="s">
        <v>98</v>
      </c>
      <c r="B36" s="228" t="s">
        <v>100</v>
      </c>
      <c r="C36" s="229"/>
      <c r="D36" s="76">
        <f>COUNTIFS(명단!$AF:$AF,"지급",명단!$C:$C,정산!J$17)*3000000</f>
        <v>0</v>
      </c>
      <c r="E36" s="76">
        <f>COUNTIFS(명단!$AF:$AF,"지급",명단!$C:$C,정산!K$17)*3000000</f>
        <v>0</v>
      </c>
      <c r="F36" s="222" t="str">
        <f>B36&amp;" (교원 "&amp;COUNTIFS(명단!$C:$C,$B$17,명단!$AF:$AF,"지급")&amp;"명, 사무직원 "&amp;COUNTIFS(명단!$C:$C,$C$17,명단!$AF:$AF,"지급")&amp;"명)"</f>
        <v>출산축하금 (교원 0명, 사무직원 0명)</v>
      </c>
      <c r="G36" s="223"/>
      <c r="H36" s="223"/>
      <c r="I36" s="74" t="str">
        <f>IF(ISERROR(SUM(J24:K24)/SUM(J13:K13)),"",SUM(J24:K24)/SUM(J13:K13))</f>
        <v/>
      </c>
      <c r="J36" s="190"/>
      <c r="K36" s="191"/>
      <c r="M36" s="131" t="s">
        <v>149</v>
      </c>
    </row>
    <row r="37" spans="1:13" ht="20.25" customHeight="1">
      <c r="A37" s="133" t="s">
        <v>152</v>
      </c>
      <c r="B37" s="219" t="s">
        <v>96</v>
      </c>
      <c r="C37" s="219"/>
      <c r="D37" s="76">
        <f>SUMIFS(명단!$AC:$AC,명단!$AD:$AD,$A22,명단!$C:$C,F$17)</f>
        <v>681819.99999999988</v>
      </c>
      <c r="E37" s="76">
        <f>SUMIFS(명단!$AC:$AC,명단!$AD:$AD,$A22,명단!$C:$C,G$17)</f>
        <v>471460.00000000006</v>
      </c>
      <c r="F37" s="222" t="str">
        <f>B37&amp;" (교원 "&amp;COUNTIFS(명단!$C:$C,$B$17,명단!$AD:$AD,$A22)&amp;"명, 사무직원 "&amp;COUNTIFS(명단!$C:$C,$C$17,명단!$AD:$AD,$A22)&amp;"명)"</f>
        <v>자율항목-2차 (교원 1명, 사무직원 1명)</v>
      </c>
      <c r="G37" s="223"/>
      <c r="H37" s="223"/>
      <c r="I37" s="77">
        <f>IF(ISERROR(SUM(F21:G22)/SUM(F11:G11)),"",SUM(F21:G22)/SUM(F11:G11))</f>
        <v>0.8134255436278558</v>
      </c>
      <c r="J37" s="190"/>
      <c r="K37" s="191"/>
      <c r="M37" s="131" t="s">
        <v>149</v>
      </c>
    </row>
    <row r="38" spans="1:13" ht="20.25" customHeight="1">
      <c r="A38" s="133" t="s">
        <v>152</v>
      </c>
      <c r="B38" s="219" t="s">
        <v>99</v>
      </c>
      <c r="C38" s="219"/>
      <c r="D38" s="76">
        <f>COUNTIFS(명단!$AE:$AE,정산!$A22,명단!$C:$C,정산!H$17)*200000</f>
        <v>200000</v>
      </c>
      <c r="E38" s="76">
        <f>COUNTIFS(명단!$AE:$AE,정산!$A22,명단!$C:$C,정산!I$17)*200000</f>
        <v>0</v>
      </c>
      <c r="F38" s="222" t="str">
        <f>B38&amp;" (교원 "&amp;COUNTIFS(명단!$C:$C,$B$17,명단!$AE:$AE,$A22)&amp;"명, 사무직원 "&amp;COUNTIFS(명단!$C:$C,$C$17,명단!$AE:$AE,$A22)&amp;"명)"</f>
        <v>특별검진-2차 (교원 1명, 사무직원 0명)</v>
      </c>
      <c r="G38" s="223"/>
      <c r="H38" s="223"/>
      <c r="I38" s="77">
        <f>IF(ISERROR(SUM(H21:I22)/SUM(H11:I11)),"",SUM(H21:I22)/SUM(H11:I11))</f>
        <v>1</v>
      </c>
      <c r="J38" s="190"/>
      <c r="K38" s="191"/>
      <c r="M38" s="131" t="s">
        <v>149</v>
      </c>
    </row>
    <row r="39" spans="1:13" ht="20.25" customHeight="1">
      <c r="A39" s="133" t="s">
        <v>153</v>
      </c>
      <c r="B39" s="225" t="s">
        <v>97</v>
      </c>
      <c r="C39" s="225"/>
      <c r="D39" s="68">
        <f>SUMIFS(명단!$AC:$AC,명단!$AD:$AD,$A23,명단!$C:$C,F$17)</f>
        <v>0</v>
      </c>
      <c r="E39" s="68">
        <f>SUMIFS(명단!$AC:$AC,명단!$AD:$AD,$A23,명단!$C:$C,G$17)</f>
        <v>585010</v>
      </c>
      <c r="F39" s="226" t="str">
        <f>B39&amp;" (교원 "&amp;COUNTIFS(명단!$C:$C,$B$17,명단!$AD:$AD,$A23)&amp;"명, 사무직원 "&amp;COUNTIFS(명단!$C:$C,$C$17,명단!$AD:$AD,$A23)&amp;"명)"</f>
        <v>자율항목-3차 (교원 0명, 사무직원 1명)</v>
      </c>
      <c r="G39" s="227"/>
      <c r="H39" s="227"/>
      <c r="I39" s="74">
        <f>IF(ISERROR(SUM(F21:G23)/SUM(F11:G11)),"",SUM(F21:G23)/SUM(F11:G11))</f>
        <v>1.0147089182493807</v>
      </c>
      <c r="J39" s="190"/>
      <c r="K39" s="191"/>
      <c r="M39" s="131" t="s">
        <v>149</v>
      </c>
    </row>
    <row r="40" spans="1:13" ht="20.25" customHeight="1">
      <c r="A40" s="134" t="s">
        <v>154</v>
      </c>
      <c r="B40" s="193" t="s">
        <v>103</v>
      </c>
      <c r="C40" s="193"/>
      <c r="D40" s="129">
        <f>COUNTIFS(명단!$AE:$AE,정산!$A23,명단!$C:$C,정산!H$17)*200000</f>
        <v>0</v>
      </c>
      <c r="E40" s="129">
        <f>COUNTIFS(명단!$AE:$AE,정산!$A23,명단!$C:$C,정산!I$17)*200000</f>
        <v>0</v>
      </c>
      <c r="F40" s="194" t="str">
        <f>B40&amp;" (교원 "&amp;COUNTIFS(명단!$C:$C,$B$17,명단!$AE:$AE,$A23)&amp;"명, 사무직원 "&amp;COUNTIFS(명단!$C:$C,$C$17,명단!$AE:$AE,$A23)&amp;"명)"</f>
        <v>특별검진-3차 (교원 0명, 사무직원 0명)</v>
      </c>
      <c r="G40" s="195"/>
      <c r="H40" s="195"/>
      <c r="I40" s="130">
        <f>IF(ISERROR(SUM(H21:I23)/SUM(H11:I11)),"",SUM(H21:I23)/SUM(H11:I11))</f>
        <v>1</v>
      </c>
      <c r="J40" s="139"/>
      <c r="K40" s="140"/>
      <c r="M40" s="131" t="s">
        <v>149</v>
      </c>
    </row>
    <row r="42" spans="1:13" ht="20.25" customHeight="1">
      <c r="A42" s="192" t="s">
        <v>177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</row>
    <row r="43" spans="1:13" ht="20.25" customHeight="1">
      <c r="A43" s="224" t="s">
        <v>162</v>
      </c>
      <c r="B43" s="224"/>
      <c r="C43" s="224"/>
      <c r="D43" s="224"/>
    </row>
    <row r="44" spans="1:13" ht="20.25" customHeight="1">
      <c r="A44" s="144" t="s">
        <v>109</v>
      </c>
      <c r="B44" s="143" t="s">
        <v>113</v>
      </c>
      <c r="C44" s="143" t="s">
        <v>161</v>
      </c>
      <c r="D44" s="154">
        <v>425150</v>
      </c>
    </row>
    <row r="45" spans="1:13" ht="20.25" customHeight="1">
      <c r="A45" s="150" t="s">
        <v>109</v>
      </c>
      <c r="B45" s="151" t="s">
        <v>113</v>
      </c>
      <c r="C45" s="151" t="s">
        <v>125</v>
      </c>
      <c r="D45" s="155">
        <v>293240</v>
      </c>
    </row>
    <row r="46" spans="1:13" ht="20.25" customHeight="1">
      <c r="A46" s="150" t="s">
        <v>109</v>
      </c>
      <c r="B46" s="151" t="s">
        <v>115</v>
      </c>
      <c r="C46" s="151" t="s">
        <v>161</v>
      </c>
      <c r="D46" s="155">
        <v>682260</v>
      </c>
    </row>
    <row r="47" spans="1:13" ht="20.25" customHeight="1">
      <c r="A47" s="150" t="s">
        <v>109</v>
      </c>
      <c r="B47" s="151" t="s">
        <v>115</v>
      </c>
      <c r="C47" s="151" t="s">
        <v>125</v>
      </c>
      <c r="D47" s="155">
        <v>550350</v>
      </c>
    </row>
    <row r="48" spans="1:13" ht="20.25" customHeight="1">
      <c r="A48" s="150" t="s">
        <v>110</v>
      </c>
      <c r="B48" s="151" t="s">
        <v>113</v>
      </c>
      <c r="C48" s="151" t="s">
        <v>161</v>
      </c>
      <c r="D48" s="155">
        <v>256290</v>
      </c>
    </row>
    <row r="49" spans="1:4" ht="20.25" customHeight="1">
      <c r="A49" s="150" t="s">
        <v>110</v>
      </c>
      <c r="B49" s="151" t="s">
        <v>113</v>
      </c>
      <c r="C49" s="151" t="s">
        <v>125</v>
      </c>
      <c r="D49" s="155">
        <v>166930</v>
      </c>
    </row>
    <row r="50" spans="1:4" ht="20.25" customHeight="1">
      <c r="A50" s="150" t="s">
        <v>110</v>
      </c>
      <c r="B50" s="151" t="s">
        <v>115</v>
      </c>
      <c r="C50" s="151" t="s">
        <v>161</v>
      </c>
      <c r="D50" s="155">
        <v>393130</v>
      </c>
    </row>
    <row r="51" spans="1:4" ht="20.25" customHeight="1">
      <c r="A51" s="59" t="s">
        <v>110</v>
      </c>
      <c r="B51" s="145" t="s">
        <v>115</v>
      </c>
      <c r="C51" s="145" t="s">
        <v>125</v>
      </c>
      <c r="D51" s="156">
        <v>303770</v>
      </c>
    </row>
  </sheetData>
  <mergeCells count="64">
    <mergeCell ref="A43:D43"/>
    <mergeCell ref="B35:C35"/>
    <mergeCell ref="F35:H35"/>
    <mergeCell ref="B37:C37"/>
    <mergeCell ref="F37:H37"/>
    <mergeCell ref="B39:C39"/>
    <mergeCell ref="F39:H39"/>
    <mergeCell ref="B38:C38"/>
    <mergeCell ref="F38:H38"/>
    <mergeCell ref="B36:C36"/>
    <mergeCell ref="F36:H36"/>
    <mergeCell ref="A31:H31"/>
    <mergeCell ref="B33:C33"/>
    <mergeCell ref="B34:C34"/>
    <mergeCell ref="B32:C32"/>
    <mergeCell ref="F32:H32"/>
    <mergeCell ref="F33:H33"/>
    <mergeCell ref="F34:H34"/>
    <mergeCell ref="D27:E27"/>
    <mergeCell ref="F27:G27"/>
    <mergeCell ref="H27:I27"/>
    <mergeCell ref="A16:A17"/>
    <mergeCell ref="B16:C16"/>
    <mergeCell ref="A27:A28"/>
    <mergeCell ref="B27:C27"/>
    <mergeCell ref="D16:E16"/>
    <mergeCell ref="F16:G16"/>
    <mergeCell ref="A26:K26"/>
    <mergeCell ref="J27:K27"/>
    <mergeCell ref="J16:K16"/>
    <mergeCell ref="H16:I16"/>
    <mergeCell ref="B3:C3"/>
    <mergeCell ref="D3:E3"/>
    <mergeCell ref="F3:G3"/>
    <mergeCell ref="H3:I3"/>
    <mergeCell ref="A1:K1"/>
    <mergeCell ref="J3:K3"/>
    <mergeCell ref="A2:K2"/>
    <mergeCell ref="A3:A4"/>
    <mergeCell ref="A8:K8"/>
    <mergeCell ref="J9:K9"/>
    <mergeCell ref="A15:K15"/>
    <mergeCell ref="D9:E9"/>
    <mergeCell ref="F9:G9"/>
    <mergeCell ref="H9:I9"/>
    <mergeCell ref="A9:A10"/>
    <mergeCell ref="B9:C9"/>
    <mergeCell ref="B14:C14"/>
    <mergeCell ref="D14:E14"/>
    <mergeCell ref="F14:G14"/>
    <mergeCell ref="H14:I14"/>
    <mergeCell ref="J14:K14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A42:K42"/>
    <mergeCell ref="B40:C40"/>
    <mergeCell ref="F40:H40"/>
  </mergeCells>
  <phoneticPr fontId="23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8" orientation="portrait" r:id="rId1"/>
  <headerFooter>
    <oddFooter>&amp;R출력일자: &amp;D &amp;T</oddFooter>
  </headerFooter>
  <ignoredErrors>
    <ignoredError sqref="I34 I37 I39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J42"/>
  <sheetViews>
    <sheetView workbookViewId="0">
      <selection activeCell="C3" sqref="C3:E13"/>
    </sheetView>
  </sheetViews>
  <sheetFormatPr defaultColWidth="0" defaultRowHeight="16.5" zeroHeight="1"/>
  <cols>
    <col min="1" max="1" width="1.25" style="18" customWidth="1"/>
    <col min="2" max="2" width="17.25" style="18" customWidth="1"/>
    <col min="3" max="3" width="20.75" style="18" customWidth="1"/>
    <col min="4" max="4" width="31.125" style="18" bestFit="1" customWidth="1"/>
    <col min="5" max="5" width="20.75" style="18" customWidth="1"/>
    <col min="6" max="6" width="1.25" style="18" customWidth="1"/>
    <col min="7" max="7" width="2.375" style="18" hidden="1" customWidth="1"/>
    <col min="8" max="8" width="16.5" style="25" hidden="1" customWidth="1"/>
    <col min="9" max="9" width="16" style="25" hidden="1" customWidth="1"/>
    <col min="10" max="10" width="6" style="18" hidden="1" customWidth="1"/>
    <col min="11" max="16384" width="2.375" style="18" hidden="1"/>
  </cols>
  <sheetData>
    <row r="1" spans="2:10" ht="7.5" customHeight="1"/>
    <row r="2" spans="2:10" ht="44.25" customHeight="1">
      <c r="B2" s="157" t="str">
        <f ca="1">YEAR(TODAY())&amp;"년도 특별건강검진비 신청서"</f>
        <v>2016년도 특별건강검진비 신청서</v>
      </c>
      <c r="C2" s="158"/>
      <c r="D2" s="158"/>
      <c r="E2" s="159"/>
    </row>
    <row r="3" spans="2:10" ht="33" customHeight="1">
      <c r="B3" s="44" t="s">
        <v>43</v>
      </c>
      <c r="C3" s="44" t="s">
        <v>45</v>
      </c>
      <c r="D3" s="45" t="s">
        <v>26</v>
      </c>
      <c r="E3" s="48" t="s">
        <v>133</v>
      </c>
    </row>
    <row r="4" spans="2:10" ht="45" customHeight="1">
      <c r="B4" s="43" t="s">
        <v>179</v>
      </c>
      <c r="C4" s="49" t="str">
        <f>배포용!E3</f>
        <v>교 원</v>
      </c>
      <c r="D4" s="49" t="str">
        <f>배포용!C4</f>
        <v>가길동</v>
      </c>
      <c r="E4" s="119">
        <f>배포용!E4</f>
        <v>24838</v>
      </c>
    </row>
    <row r="5" spans="2:10" ht="14.25" customHeight="1">
      <c r="B5" s="32"/>
      <c r="C5" s="36"/>
      <c r="D5" s="36"/>
      <c r="E5" s="33"/>
    </row>
    <row r="6" spans="2:10" ht="57" customHeight="1">
      <c r="B6" s="44" t="s">
        <v>46</v>
      </c>
      <c r="C6" s="45" t="s">
        <v>47</v>
      </c>
      <c r="D6" s="44" t="s">
        <v>138</v>
      </c>
      <c r="E6" s="53" t="s">
        <v>158</v>
      </c>
    </row>
    <row r="7" spans="2:10" ht="45" customHeight="1">
      <c r="B7" s="49" t="s">
        <v>49</v>
      </c>
      <c r="C7" s="49"/>
      <c r="D7" s="49"/>
      <c r="E7" s="52">
        <v>200000</v>
      </c>
      <c r="H7" s="25" t="s">
        <v>29</v>
      </c>
      <c r="I7" s="25" t="e">
        <f>VLOOKUP(E4,명단!B:AC,15,FALSE)</f>
        <v>#N/A</v>
      </c>
      <c r="J7" s="18" t="e">
        <f>IF(I7&gt;0,"(대상)","")</f>
        <v>#N/A</v>
      </c>
    </row>
    <row r="8" spans="2:10" ht="14.25" customHeight="1">
      <c r="B8" s="32"/>
      <c r="C8" s="36"/>
      <c r="D8" s="36"/>
      <c r="E8" s="33"/>
    </row>
    <row r="9" spans="2:10" ht="39" customHeight="1">
      <c r="B9" s="237" t="s">
        <v>39</v>
      </c>
      <c r="C9" s="238"/>
      <c r="D9" s="237" t="s">
        <v>155</v>
      </c>
      <c r="E9" s="241"/>
    </row>
    <row r="10" spans="2:10" ht="45" customHeight="1">
      <c r="B10" s="239"/>
      <c r="C10" s="240"/>
      <c r="D10" s="239"/>
      <c r="E10" s="242"/>
      <c r="H10" s="25" t="s">
        <v>29</v>
      </c>
      <c r="I10" s="25" t="e">
        <f>VLOOKUP(E7,명단!B:AC,15,FALSE)</f>
        <v>#N/A</v>
      </c>
      <c r="J10" s="18" t="e">
        <f>IF(I10&gt;0,"(대상)","")</f>
        <v>#N/A</v>
      </c>
    </row>
    <row r="11" spans="2:10" ht="9" customHeight="1">
      <c r="B11" s="34"/>
      <c r="C11" s="35"/>
      <c r="D11" s="35"/>
      <c r="E11" s="23"/>
    </row>
    <row r="12" spans="2:10">
      <c r="B12" s="243" t="s">
        <v>48</v>
      </c>
      <c r="C12" s="244"/>
      <c r="D12" s="244"/>
      <c r="E12" s="245"/>
    </row>
    <row r="13" spans="2:10">
      <c r="B13" s="243"/>
      <c r="C13" s="244"/>
      <c r="D13" s="244"/>
      <c r="E13" s="245"/>
    </row>
    <row r="14" spans="2:10">
      <c r="B14" s="233" t="s">
        <v>134</v>
      </c>
      <c r="C14" s="234"/>
      <c r="D14" s="234"/>
      <c r="E14" s="235"/>
      <c r="H14" s="18"/>
      <c r="I14" s="18"/>
    </row>
    <row r="15" spans="2:10" ht="27.75" customHeight="1">
      <c r="B15" s="39"/>
      <c r="C15" s="50" t="s">
        <v>40</v>
      </c>
      <c r="D15" s="120" t="str">
        <f>D4</f>
        <v>가길동</v>
      </c>
      <c r="E15" s="51" t="s">
        <v>42</v>
      </c>
      <c r="H15" s="18"/>
      <c r="I15" s="18"/>
    </row>
    <row r="16" spans="2:10" ht="27.75" customHeight="1" thickBot="1">
      <c r="B16" s="39"/>
      <c r="C16" s="37"/>
      <c r="D16" s="37"/>
      <c r="E16" s="38"/>
      <c r="H16" s="18"/>
      <c r="I16" s="18"/>
    </row>
    <row r="17" spans="2:9" ht="38.25" customHeight="1">
      <c r="B17" s="246" t="s">
        <v>50</v>
      </c>
      <c r="C17" s="247"/>
      <c r="D17" s="247"/>
      <c r="E17" s="248"/>
      <c r="H17" s="18"/>
      <c r="I17" s="18"/>
    </row>
    <row r="18" spans="2:9" ht="15.75" customHeight="1">
      <c r="B18" s="39"/>
      <c r="C18" s="37"/>
      <c r="D18" s="37"/>
      <c r="E18" s="38"/>
      <c r="H18" s="18"/>
      <c r="I18" s="18"/>
    </row>
    <row r="19" spans="2:9" ht="27.75" customHeight="1">
      <c r="B19" s="249" t="s">
        <v>159</v>
      </c>
      <c r="C19" s="250"/>
      <c r="D19" s="250"/>
      <c r="E19" s="251"/>
      <c r="H19" s="18"/>
      <c r="I19" s="18"/>
    </row>
    <row r="20" spans="2:9" ht="27.75" customHeight="1">
      <c r="B20" s="249"/>
      <c r="C20" s="250"/>
      <c r="D20" s="250"/>
      <c r="E20" s="251"/>
      <c r="H20" s="18"/>
      <c r="I20" s="18"/>
    </row>
    <row r="21" spans="2:9" ht="27.75" customHeight="1">
      <c r="B21" s="39"/>
      <c r="C21" s="50" t="s">
        <v>143</v>
      </c>
      <c r="D21" s="50"/>
      <c r="E21" s="51" t="s">
        <v>51</v>
      </c>
      <c r="H21" s="18"/>
      <c r="I21" s="18"/>
    </row>
    <row r="22" spans="2:9" ht="27.75" customHeight="1">
      <c r="B22" s="39"/>
      <c r="C22" s="37"/>
      <c r="D22" s="37"/>
      <c r="E22" s="38"/>
      <c r="H22" s="18"/>
      <c r="I22" s="18"/>
    </row>
    <row r="23" spans="2:9" ht="27.75" customHeight="1">
      <c r="B23" s="39"/>
      <c r="C23" s="37"/>
      <c r="D23" s="37"/>
      <c r="E23" s="38"/>
      <c r="H23" s="18"/>
      <c r="I23" s="18"/>
    </row>
    <row r="24" spans="2:9" ht="27.75" customHeight="1">
      <c r="B24" s="230" t="s">
        <v>139</v>
      </c>
      <c r="C24" s="231"/>
      <c r="D24" s="231"/>
      <c r="E24" s="232"/>
      <c r="H24" s="18"/>
      <c r="I24" s="18"/>
    </row>
    <row r="25" spans="2:9" ht="27.75" customHeight="1" thickBot="1">
      <c r="B25" s="40"/>
      <c r="C25" s="41"/>
      <c r="D25" s="41"/>
      <c r="E25" s="42"/>
      <c r="H25" s="18"/>
      <c r="I25" s="18"/>
    </row>
    <row r="26" spans="2:9" ht="7.5" customHeight="1">
      <c r="B26" s="236"/>
      <c r="C26" s="236"/>
      <c r="D26" s="236"/>
      <c r="E26" s="236"/>
      <c r="H26" s="18"/>
      <c r="I26" s="18"/>
    </row>
    <row r="27" spans="2:9" ht="15.75" hidden="1" customHeight="1">
      <c r="B27" s="236"/>
      <c r="C27" s="236"/>
      <c r="D27" s="236"/>
      <c r="E27" s="236"/>
      <c r="H27" s="18"/>
      <c r="I27" s="18"/>
    </row>
    <row r="28" spans="2:9" hidden="1"/>
    <row r="29" spans="2:9" hidden="1"/>
    <row r="30" spans="2:9" hidden="1"/>
    <row r="31" spans="2:9" hidden="1"/>
    <row r="32" spans="2:9" hidden="1"/>
    <row r="33" spans="8:9" hidden="1"/>
    <row r="34" spans="8:9" hidden="1">
      <c r="H34" s="18"/>
      <c r="I34" s="18"/>
    </row>
    <row r="35" spans="8:9" hidden="1">
      <c r="H35" s="18"/>
      <c r="I35" s="18"/>
    </row>
    <row r="36" spans="8:9" hidden="1">
      <c r="H36" s="18"/>
      <c r="I36" s="18"/>
    </row>
    <row r="37" spans="8:9" hidden="1">
      <c r="H37" s="18"/>
      <c r="I37" s="18"/>
    </row>
    <row r="38" spans="8:9" hidden="1"/>
    <row r="39" spans="8:9" hidden="1"/>
    <row r="40" spans="8:9" hidden="1"/>
    <row r="41" spans="8:9" hidden="1"/>
    <row r="42" spans="8:9" hidden="1"/>
  </sheetData>
  <mergeCells count="11">
    <mergeCell ref="B2:E2"/>
    <mergeCell ref="B24:E24"/>
    <mergeCell ref="B14:E14"/>
    <mergeCell ref="B26:E27"/>
    <mergeCell ref="B9:C9"/>
    <mergeCell ref="B10:C10"/>
    <mergeCell ref="D9:E9"/>
    <mergeCell ref="D10:E10"/>
    <mergeCell ref="B12:E13"/>
    <mergeCell ref="B17:E17"/>
    <mergeCell ref="B19:E20"/>
  </mergeCells>
  <phoneticPr fontId="23" type="noConversion"/>
  <conditionalFormatting sqref="C7:D7">
    <cfRule type="containsText" dxfId="2" priority="2" operator="containsText" text="*대상*">
      <formula>NOT(ISERROR(SEARCH("*대상*",C7)))</formula>
    </cfRule>
  </conditionalFormatting>
  <conditionalFormatting sqref="D10">
    <cfRule type="containsText" dxfId="1" priority="1" operator="containsText" text="*대상*">
      <formula>NOT(ISERROR(SEARCH("*대상*",D10)))</formula>
    </cfRule>
  </conditionalFormatting>
  <printOptions horizontalCentered="1"/>
  <pageMargins left="0.19685039370078741" right="0.19685039370078741" top="1.3385826771653544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E44"/>
  <sheetViews>
    <sheetView workbookViewId="0">
      <pane ySplit="3" topLeftCell="A4" activePane="bottomLeft" state="frozen"/>
      <selection activeCell="C3" sqref="C3:E13"/>
      <selection pane="bottomLeft" activeCell="C3" sqref="C3:E13"/>
    </sheetView>
  </sheetViews>
  <sheetFormatPr defaultRowHeight="16.5"/>
  <cols>
    <col min="1" max="1" width="6" bestFit="1" customWidth="1"/>
    <col min="2" max="2" width="28.25" bestFit="1" customWidth="1"/>
    <col min="3" max="3" width="42.75" bestFit="1" customWidth="1"/>
    <col min="4" max="4" width="19.375" bestFit="1" customWidth="1"/>
    <col min="5" max="5" width="35" bestFit="1" customWidth="1"/>
  </cols>
  <sheetData>
    <row r="1" spans="1:5" ht="20.25">
      <c r="A1" s="252" t="s">
        <v>187</v>
      </c>
      <c r="B1" s="252"/>
      <c r="C1" s="252"/>
      <c r="D1" s="252"/>
      <c r="E1" s="252"/>
    </row>
    <row r="2" spans="1:5" s="2" customFormat="1" ht="54" customHeight="1">
      <c r="A2" s="253" t="s">
        <v>186</v>
      </c>
      <c r="B2" s="254"/>
      <c r="C2" s="254"/>
      <c r="D2" s="254"/>
      <c r="E2" s="254"/>
    </row>
    <row r="3" spans="1:5">
      <c r="A3" s="16" t="s">
        <v>0</v>
      </c>
      <c r="B3" s="16" t="s">
        <v>9</v>
      </c>
      <c r="C3" s="16" t="s">
        <v>10</v>
      </c>
      <c r="D3" s="16" t="s">
        <v>11</v>
      </c>
      <c r="E3" s="8" t="s">
        <v>12</v>
      </c>
    </row>
    <row r="4" spans="1:5">
      <c r="A4" s="15">
        <v>1</v>
      </c>
      <c r="B4" s="15" t="s">
        <v>188</v>
      </c>
      <c r="C4" s="14" t="s">
        <v>190</v>
      </c>
      <c r="D4" s="15" t="s">
        <v>192</v>
      </c>
      <c r="E4" s="7" t="s">
        <v>13</v>
      </c>
    </row>
    <row r="5" spans="1:5">
      <c r="A5" s="15">
        <v>2</v>
      </c>
      <c r="B5" s="15" t="s">
        <v>189</v>
      </c>
      <c r="C5" s="14" t="s">
        <v>191</v>
      </c>
      <c r="D5" s="15" t="s">
        <v>193</v>
      </c>
      <c r="E5" s="7" t="s">
        <v>13</v>
      </c>
    </row>
    <row r="6" spans="1:5">
      <c r="A6" s="15"/>
      <c r="B6" s="15"/>
      <c r="C6" s="14"/>
      <c r="D6" s="15"/>
      <c r="E6" s="13"/>
    </row>
    <row r="7" spans="1:5">
      <c r="A7" s="15"/>
      <c r="B7" s="15"/>
      <c r="C7" s="14"/>
      <c r="D7" s="15"/>
      <c r="E7" s="12"/>
    </row>
    <row r="8" spans="1:5">
      <c r="A8" s="15"/>
      <c r="B8" s="15"/>
      <c r="C8" s="14"/>
      <c r="D8" s="15"/>
      <c r="E8" s="12"/>
    </row>
    <row r="9" spans="1:5">
      <c r="A9" s="15"/>
      <c r="B9" s="15"/>
      <c r="C9" s="14"/>
      <c r="D9" s="15"/>
      <c r="E9" s="13"/>
    </row>
    <row r="10" spans="1:5">
      <c r="A10" s="15"/>
      <c r="B10" s="15"/>
      <c r="C10" s="14"/>
      <c r="D10" s="15"/>
      <c r="E10" s="13"/>
    </row>
    <row r="11" spans="1:5">
      <c r="A11" s="15"/>
      <c r="B11" s="15"/>
      <c r="C11" s="14"/>
      <c r="D11" s="15"/>
      <c r="E11" s="13"/>
    </row>
    <row r="12" spans="1:5">
      <c r="A12" s="15"/>
      <c r="B12" s="15"/>
      <c r="C12" s="14"/>
      <c r="D12" s="15"/>
      <c r="E12" s="13"/>
    </row>
    <row r="13" spans="1:5">
      <c r="A13" s="15"/>
      <c r="B13" s="15"/>
      <c r="C13" s="14"/>
      <c r="D13" s="15"/>
      <c r="E13" s="13"/>
    </row>
    <row r="14" spans="1:5">
      <c r="A14" s="15"/>
      <c r="B14" s="15"/>
      <c r="C14" s="14"/>
      <c r="D14" s="15"/>
      <c r="E14" s="11"/>
    </row>
    <row r="15" spans="1:5">
      <c r="A15" s="15"/>
      <c r="B15" s="15"/>
      <c r="C15" s="14"/>
      <c r="D15" s="15"/>
      <c r="E15" s="13"/>
    </row>
    <row r="16" spans="1:5">
      <c r="A16" s="15"/>
      <c r="B16" s="116"/>
      <c r="C16" s="14"/>
      <c r="D16" s="15"/>
      <c r="E16" s="12"/>
    </row>
    <row r="17" spans="1:5">
      <c r="A17" s="15"/>
      <c r="B17" s="15"/>
      <c r="C17" s="14"/>
      <c r="D17" s="15"/>
      <c r="E17" s="13"/>
    </row>
    <row r="18" spans="1:5">
      <c r="A18" s="15"/>
      <c r="B18" s="15"/>
      <c r="C18" s="14"/>
      <c r="D18" s="15"/>
      <c r="E18" s="13"/>
    </row>
    <row r="19" spans="1:5">
      <c r="A19" s="15"/>
      <c r="B19" s="15"/>
      <c r="C19" s="14"/>
      <c r="D19" s="15"/>
      <c r="E19" s="13"/>
    </row>
    <row r="20" spans="1:5">
      <c r="A20" s="15"/>
      <c r="B20" s="15"/>
      <c r="C20" s="14"/>
      <c r="D20" s="15"/>
      <c r="E20" s="13"/>
    </row>
    <row r="21" spans="1:5">
      <c r="A21" s="15"/>
      <c r="B21" s="15"/>
      <c r="C21" s="14"/>
      <c r="D21" s="15"/>
      <c r="E21" s="13"/>
    </row>
    <row r="22" spans="1:5">
      <c r="A22" s="15"/>
      <c r="B22" s="15"/>
      <c r="C22" s="14"/>
      <c r="D22" s="15"/>
      <c r="E22" s="13"/>
    </row>
    <row r="23" spans="1:5">
      <c r="A23" s="15"/>
      <c r="B23" s="15"/>
      <c r="C23" s="14"/>
      <c r="D23" s="15"/>
      <c r="E23" s="13"/>
    </row>
    <row r="24" spans="1:5">
      <c r="A24" s="15"/>
      <c r="B24" s="15"/>
      <c r="C24" s="14"/>
      <c r="D24" s="15"/>
      <c r="E24" s="13"/>
    </row>
    <row r="25" spans="1:5">
      <c r="A25" s="15"/>
      <c r="B25" s="15"/>
      <c r="C25" s="10"/>
      <c r="D25" s="9"/>
      <c r="E25" s="13"/>
    </row>
    <row r="26" spans="1:5">
      <c r="A26" s="15"/>
      <c r="B26" s="15"/>
      <c r="C26" s="14"/>
      <c r="D26" s="15"/>
      <c r="E26" s="13"/>
    </row>
    <row r="27" spans="1:5">
      <c r="A27" s="15"/>
      <c r="B27" s="15"/>
      <c r="C27" s="14"/>
      <c r="D27" s="15"/>
      <c r="E27" s="13"/>
    </row>
    <row r="28" spans="1:5">
      <c r="A28" s="15"/>
      <c r="B28" s="15"/>
      <c r="C28" s="14"/>
      <c r="D28" s="15"/>
      <c r="E28" s="13"/>
    </row>
    <row r="29" spans="1:5">
      <c r="A29" s="15"/>
      <c r="B29" s="15"/>
      <c r="C29" s="14"/>
      <c r="D29" s="15"/>
      <c r="E29" s="13"/>
    </row>
    <row r="30" spans="1:5">
      <c r="A30" s="15"/>
      <c r="B30" s="116"/>
      <c r="C30" s="14"/>
      <c r="D30" s="15"/>
      <c r="E30" s="13"/>
    </row>
    <row r="31" spans="1:5">
      <c r="A31" s="15"/>
      <c r="B31" s="15"/>
      <c r="C31" s="14"/>
      <c r="D31" s="15"/>
      <c r="E31" s="12"/>
    </row>
    <row r="32" spans="1:5">
      <c r="A32" s="15"/>
      <c r="B32" s="15"/>
      <c r="C32" s="14"/>
      <c r="D32" s="15"/>
      <c r="E32" s="13"/>
    </row>
    <row r="33" spans="1:5">
      <c r="A33" s="15"/>
      <c r="B33" s="15"/>
      <c r="C33" s="14"/>
      <c r="D33" s="15"/>
      <c r="E33" s="13"/>
    </row>
    <row r="34" spans="1:5">
      <c r="A34" s="15"/>
      <c r="B34" s="15"/>
      <c r="C34" s="14"/>
      <c r="D34" s="15"/>
      <c r="E34" s="13"/>
    </row>
    <row r="35" spans="1:5">
      <c r="A35" s="15"/>
      <c r="B35" s="15"/>
      <c r="C35" s="14"/>
      <c r="D35" s="15"/>
      <c r="E35" s="11"/>
    </row>
    <row r="36" spans="1:5">
      <c r="A36" s="15"/>
      <c r="B36" s="15"/>
      <c r="C36" s="14"/>
      <c r="D36" s="15"/>
      <c r="E36" s="7"/>
    </row>
    <row r="37" spans="1:5">
      <c r="A37" s="15"/>
      <c r="B37" s="15"/>
      <c r="C37" s="14"/>
      <c r="D37" s="15"/>
      <c r="E37" s="6"/>
    </row>
    <row r="38" spans="1:5">
      <c r="A38" s="15"/>
      <c r="B38" s="15"/>
      <c r="C38" s="14"/>
      <c r="D38" s="15"/>
      <c r="E38" s="7"/>
    </row>
    <row r="39" spans="1:5">
      <c r="A39" s="15"/>
      <c r="B39" s="15"/>
      <c r="C39" s="14"/>
      <c r="D39" s="15"/>
      <c r="E39" s="5"/>
    </row>
    <row r="40" spans="1:5">
      <c r="A40" s="15"/>
      <c r="B40" s="15"/>
      <c r="C40" s="14"/>
      <c r="D40" s="15"/>
      <c r="E40" s="4"/>
    </row>
    <row r="41" spans="1:5">
      <c r="A41" s="15"/>
      <c r="B41" s="15"/>
      <c r="C41" s="14"/>
      <c r="D41" s="15"/>
      <c r="E41" s="3"/>
    </row>
    <row r="42" spans="1:5">
      <c r="A42" s="15"/>
      <c r="B42" s="15"/>
      <c r="C42" s="14"/>
      <c r="D42" s="15"/>
      <c r="E42" s="7"/>
    </row>
    <row r="43" spans="1:5">
      <c r="A43" s="15"/>
      <c r="B43" s="15"/>
      <c r="C43" s="14"/>
      <c r="D43" s="15"/>
      <c r="E43" s="7"/>
    </row>
    <row r="44" spans="1:5">
      <c r="A44" s="15"/>
      <c r="B44" s="15"/>
      <c r="C44" s="14"/>
      <c r="D44" s="15"/>
      <c r="E44" s="7"/>
    </row>
  </sheetData>
  <mergeCells count="2">
    <mergeCell ref="A1:E1"/>
    <mergeCell ref="A2:E2"/>
  </mergeCells>
  <phoneticPr fontId="23" type="noConversion"/>
  <printOptions horizontalCentered="1"/>
  <pageMargins left="0.19685039370078741" right="0.19685039370078741" top="0.39370078740157483" bottom="0.19685039370078741" header="0" footer="0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J36"/>
  <sheetViews>
    <sheetView workbookViewId="0"/>
  </sheetViews>
  <sheetFormatPr defaultColWidth="0" defaultRowHeight="16.5" zeroHeight="1"/>
  <cols>
    <col min="1" max="1" width="1.25" style="18" customWidth="1"/>
    <col min="2" max="3" width="27.25" style="18" customWidth="1"/>
    <col min="4" max="5" width="12.5" style="18" customWidth="1"/>
    <col min="6" max="6" width="1.25" style="18" customWidth="1"/>
    <col min="7" max="7" width="2.375" style="18" hidden="1" customWidth="1"/>
    <col min="8" max="8" width="16.5" style="25" hidden="1" customWidth="1"/>
    <col min="9" max="9" width="16" style="25" hidden="1" customWidth="1"/>
    <col min="10" max="10" width="6" style="18" hidden="1" customWidth="1"/>
    <col min="11" max="16384" width="2.375" style="18" hidden="1"/>
  </cols>
  <sheetData>
    <row r="1" spans="2:10" ht="7.5" customHeight="1"/>
    <row r="2" spans="2:10" ht="44.25" customHeight="1">
      <c r="B2" s="157" t="s">
        <v>44</v>
      </c>
      <c r="C2" s="158"/>
      <c r="D2" s="158"/>
      <c r="E2" s="159"/>
    </row>
    <row r="3" spans="2:10" ht="33" customHeight="1">
      <c r="B3" s="44" t="s">
        <v>43</v>
      </c>
      <c r="C3" s="45" t="s">
        <v>26</v>
      </c>
      <c r="D3" s="258" t="s">
        <v>38</v>
      </c>
      <c r="E3" s="259"/>
    </row>
    <row r="4" spans="2:10" ht="45" customHeight="1">
      <c r="B4" s="43" t="s">
        <v>179</v>
      </c>
      <c r="C4" s="43" t="str">
        <f>배포용!C4</f>
        <v>가길동</v>
      </c>
      <c r="D4" s="260"/>
      <c r="E4" s="261"/>
    </row>
    <row r="5" spans="2:10" ht="14.25" customHeight="1">
      <c r="B5" s="32"/>
      <c r="C5" s="36"/>
      <c r="D5" s="36"/>
      <c r="E5" s="33"/>
    </row>
    <row r="6" spans="2:10" ht="39" customHeight="1">
      <c r="B6" s="44" t="s">
        <v>39</v>
      </c>
      <c r="C6" s="44" t="s">
        <v>156</v>
      </c>
      <c r="D6" s="258" t="s">
        <v>41</v>
      </c>
      <c r="E6" s="259"/>
    </row>
    <row r="7" spans="2:10" ht="45" customHeight="1">
      <c r="B7" s="43"/>
      <c r="C7" s="43"/>
      <c r="D7" s="260"/>
      <c r="E7" s="261"/>
      <c r="H7" s="25" t="s">
        <v>29</v>
      </c>
      <c r="I7" s="25" t="e">
        <f>VLOOKUP(E4,명단!B:AC,15,FALSE)</f>
        <v>#N/A</v>
      </c>
      <c r="J7" s="18" t="e">
        <f>IF(I7&gt;0,"(대상)","")</f>
        <v>#N/A</v>
      </c>
    </row>
    <row r="8" spans="2:10" ht="9" customHeight="1">
      <c r="B8" s="34"/>
      <c r="C8" s="35"/>
      <c r="D8" s="35"/>
      <c r="E8" s="23"/>
    </row>
    <row r="9" spans="2:10" ht="27.75" customHeight="1">
      <c r="B9" s="255" t="s">
        <v>157</v>
      </c>
      <c r="C9" s="256"/>
      <c r="D9" s="256"/>
      <c r="E9" s="257"/>
    </row>
    <row r="10" spans="2:10" ht="27.75" customHeight="1">
      <c r="B10" s="255"/>
      <c r="C10" s="256"/>
      <c r="D10" s="256"/>
      <c r="E10" s="257"/>
    </row>
    <row r="11" spans="2:10" ht="27.75" customHeight="1">
      <c r="B11" s="255"/>
      <c r="C11" s="256"/>
      <c r="D11" s="256"/>
      <c r="E11" s="257"/>
    </row>
    <row r="12" spans="2:10" ht="27.75" customHeight="1">
      <c r="B12" s="255"/>
      <c r="C12" s="256"/>
      <c r="D12" s="256"/>
      <c r="E12" s="257"/>
      <c r="H12" s="18"/>
      <c r="I12" s="18"/>
    </row>
    <row r="13" spans="2:10" ht="27.75" customHeight="1">
      <c r="B13" s="255"/>
      <c r="C13" s="256"/>
      <c r="D13" s="256"/>
      <c r="E13" s="257"/>
      <c r="H13" s="18"/>
      <c r="I13" s="18"/>
    </row>
    <row r="14" spans="2:10" ht="27.75" customHeight="1">
      <c r="B14" s="255"/>
      <c r="C14" s="256"/>
      <c r="D14" s="256"/>
      <c r="E14" s="257"/>
      <c r="H14" s="18"/>
      <c r="I14" s="18"/>
    </row>
    <row r="15" spans="2:10" ht="27.75" customHeight="1">
      <c r="B15" s="249" t="s">
        <v>135</v>
      </c>
      <c r="C15" s="250"/>
      <c r="D15" s="250"/>
      <c r="E15" s="251"/>
      <c r="H15" s="18"/>
      <c r="I15" s="18"/>
    </row>
    <row r="16" spans="2:10" ht="27.75" customHeight="1">
      <c r="B16" s="39"/>
      <c r="C16" s="37"/>
      <c r="D16" s="37"/>
      <c r="E16" s="38"/>
      <c r="H16" s="18"/>
      <c r="I16" s="18"/>
    </row>
    <row r="17" spans="2:9" ht="27.75" customHeight="1">
      <c r="B17" s="39"/>
      <c r="C17" s="37"/>
      <c r="D17" s="37"/>
      <c r="E17" s="38"/>
      <c r="H17" s="18"/>
      <c r="I17" s="18"/>
    </row>
    <row r="18" spans="2:9" ht="27.75" customHeight="1">
      <c r="B18" s="39"/>
      <c r="C18" s="37"/>
      <c r="D18" s="37"/>
      <c r="E18" s="38"/>
      <c r="H18" s="18"/>
      <c r="I18" s="18"/>
    </row>
    <row r="19" spans="2:9" ht="27.75" customHeight="1">
      <c r="B19" s="39"/>
      <c r="C19" s="37"/>
      <c r="D19" s="37"/>
      <c r="E19" s="38"/>
      <c r="H19" s="18"/>
      <c r="I19" s="18"/>
    </row>
    <row r="20" spans="2:9" ht="27.75" customHeight="1">
      <c r="B20" s="39"/>
      <c r="C20" s="46" t="s">
        <v>40</v>
      </c>
      <c r="D20" s="46" t="str">
        <f>C4</f>
        <v>가길동</v>
      </c>
      <c r="E20" s="47" t="s">
        <v>42</v>
      </c>
      <c r="H20" s="18"/>
      <c r="I20" s="18"/>
    </row>
    <row r="21" spans="2:9" ht="27.75" customHeight="1">
      <c r="B21" s="39"/>
      <c r="C21" s="37"/>
      <c r="D21" s="37"/>
      <c r="E21" s="38"/>
      <c r="H21" s="18"/>
      <c r="I21" s="18"/>
    </row>
    <row r="22" spans="2:9" ht="27.75" customHeight="1">
      <c r="B22" s="39"/>
      <c r="C22" s="37"/>
      <c r="D22" s="37"/>
      <c r="E22" s="38"/>
      <c r="H22" s="18"/>
      <c r="I22" s="18"/>
    </row>
    <row r="23" spans="2:9" ht="27.75" customHeight="1">
      <c r="B23" s="39"/>
      <c r="C23" s="37"/>
      <c r="D23" s="37"/>
      <c r="E23" s="38"/>
      <c r="H23" s="18"/>
      <c r="I23" s="18"/>
    </row>
    <row r="24" spans="2:9" ht="27.75" customHeight="1" thickBot="1">
      <c r="B24" s="40"/>
      <c r="C24" s="41"/>
      <c r="D24" s="41"/>
      <c r="E24" s="42"/>
      <c r="H24" s="18"/>
      <c r="I24" s="18"/>
    </row>
    <row r="25" spans="2:9" ht="7.5" customHeight="1">
      <c r="B25" s="236"/>
      <c r="C25" s="236"/>
      <c r="D25" s="236"/>
      <c r="E25" s="236"/>
      <c r="H25" s="18"/>
      <c r="I25" s="18"/>
    </row>
    <row r="26" spans="2:9" ht="15.75" hidden="1" customHeight="1">
      <c r="B26" s="236"/>
      <c r="C26" s="236"/>
      <c r="D26" s="236"/>
      <c r="E26" s="236"/>
      <c r="H26" s="18"/>
      <c r="I26" s="18"/>
    </row>
    <row r="27" spans="2:9" hidden="1"/>
    <row r="28" spans="2:9" hidden="1"/>
    <row r="29" spans="2:9" hidden="1"/>
    <row r="30" spans="2:9" hidden="1"/>
    <row r="31" spans="2:9" hidden="1"/>
    <row r="32" spans="2:9" hidden="1"/>
    <row r="33" s="18" customFormat="1" hidden="1"/>
    <row r="34" s="18" customFormat="1" hidden="1"/>
    <row r="35" s="18" customFormat="1" hidden="1"/>
    <row r="36" s="18" customFormat="1" hidden="1"/>
  </sheetData>
  <mergeCells count="8">
    <mergeCell ref="B25:E26"/>
    <mergeCell ref="B9:E14"/>
    <mergeCell ref="B15:E15"/>
    <mergeCell ref="B2:E2"/>
    <mergeCell ref="D3:E3"/>
    <mergeCell ref="D4:E4"/>
    <mergeCell ref="D6:E6"/>
    <mergeCell ref="D7:E7"/>
  </mergeCells>
  <phoneticPr fontId="23" type="noConversion"/>
  <conditionalFormatting sqref="C7:D7">
    <cfRule type="containsText" dxfId="0" priority="2" operator="containsText" text="*대상*">
      <formula>NOT(ISERROR(SEARCH("*대상*",C7)))</formula>
    </cfRule>
  </conditionalFormatting>
  <printOptions horizontalCentered="1"/>
  <pageMargins left="0.19685039370078741" right="0.19685039370078741" top="1.3385826771653544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수정정보</vt:lpstr>
      <vt:lpstr>작성용</vt:lpstr>
      <vt:lpstr>배포용</vt:lpstr>
      <vt:lpstr>명단</vt:lpstr>
      <vt:lpstr>정산</vt:lpstr>
      <vt:lpstr>특별건강검진비 신청서</vt:lpstr>
      <vt:lpstr>특별검진 병원 현황</vt:lpstr>
      <vt:lpstr>출산축하금 신청서</vt:lpstr>
      <vt:lpstr>명단!Print_Area</vt:lpstr>
      <vt:lpstr>배포용!Print_Area</vt:lpstr>
      <vt:lpstr>작성용!Print_Area</vt:lpstr>
      <vt:lpstr>정산!Print_Area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한울</cp:lastModifiedBy>
  <cp:lastPrinted>2016-03-12T05:24:51Z</cp:lastPrinted>
  <dcterms:created xsi:type="dcterms:W3CDTF">2015-03-06T04:29:40Z</dcterms:created>
  <dcterms:modified xsi:type="dcterms:W3CDTF">2016-03-12T05:30:00Z</dcterms:modified>
</cp:coreProperties>
</file>